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C:\Users\dwatson\Desktop\"/>
    </mc:Choice>
  </mc:AlternateContent>
  <xr:revisionPtr revIDLastSave="0" documentId="8_{41ECE60D-B285-406E-A8AA-11343DEFEB36}"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0" i="5" l="1"/>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C2432" i="5"/>
  <c r="V2432" i="5" s="1"/>
  <c r="H2432" i="5" s="1"/>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S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C940" i="5"/>
  <c r="V940" i="5" s="1"/>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G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C655" i="5"/>
  <c r="V655" i="5" s="1"/>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C609" i="5"/>
  <c r="V609" i="5" s="1"/>
  <c r="V605" i="5"/>
  <c r="V603" i="5"/>
  <c r="J603" i="5" s="1"/>
  <c r="T603" i="5" s="1"/>
  <c r="V597" i="5"/>
  <c r="G597" i="5" s="1"/>
  <c r="V593" i="5"/>
  <c r="V589" i="5"/>
  <c r="G589" i="5" s="1"/>
  <c r="V585" i="5"/>
  <c r="V583" i="5"/>
  <c r="V581" i="5"/>
  <c r="V571" i="5"/>
  <c r="J571" i="5" s="1"/>
  <c r="V569" i="5"/>
  <c r="R569" i="5" s="1"/>
  <c r="V567" i="5"/>
  <c r="F567" i="5" s="1"/>
  <c r="V565" i="5"/>
  <c r="V563" i="5"/>
  <c r="V562" i="5"/>
  <c r="I562" i="5" s="1"/>
  <c r="V559" i="5"/>
  <c r="G559" i="5" s="1"/>
  <c r="V558" i="5"/>
  <c r="I558" i="5" s="1"/>
  <c r="V557" i="5"/>
  <c r="R557" i="5" s="1"/>
  <c r="V554" i="5"/>
  <c r="I554" i="5" s="1"/>
  <c r="V551" i="5"/>
  <c r="V550" i="5"/>
  <c r="V549" i="5"/>
  <c r="R549" i="5" s="1"/>
  <c r="V547" i="5"/>
  <c r="R547" i="5" s="1"/>
  <c r="V546" i="5"/>
  <c r="I546" i="5" s="1"/>
  <c r="V545" i="5"/>
  <c r="R545" i="5" s="1"/>
  <c r="V543" i="5"/>
  <c r="V542" i="5"/>
  <c r="V541" i="5"/>
  <c r="V539" i="5"/>
  <c r="V538" i="5"/>
  <c r="V535" i="5"/>
  <c r="J535" i="5" s="1"/>
  <c r="V534" i="5"/>
  <c r="I534" i="5" s="1"/>
  <c r="V531" i="5"/>
  <c r="V530" i="5"/>
  <c r="V529" i="5"/>
  <c r="R529" i="5" s="1"/>
  <c r="V527" i="5"/>
  <c r="H527" i="5" s="1"/>
  <c r="V526" i="5"/>
  <c r="H526" i="5" s="1"/>
  <c r="V525" i="5"/>
  <c r="V522" i="5"/>
  <c r="I522" i="5" s="1"/>
  <c r="V519" i="5"/>
  <c r="V518" i="5"/>
  <c r="I518" i="5" s="1"/>
  <c r="V515" i="5"/>
  <c r="V514" i="5"/>
  <c r="V513" i="5"/>
  <c r="R513" i="5" s="1"/>
  <c r="V511" i="5"/>
  <c r="V510" i="5"/>
  <c r="I510" i="5" s="1"/>
  <c r="V509" i="5"/>
  <c r="V507" i="5"/>
  <c r="V506" i="5"/>
  <c r="V503" i="5"/>
  <c r="J503" i="5" s="1"/>
  <c r="V502" i="5"/>
  <c r="I502" i="5" s="1"/>
  <c r="V499" i="5"/>
  <c r="R499" i="5" s="1"/>
  <c r="V498" i="5"/>
  <c r="V497" i="5"/>
  <c r="R497" i="5" s="1"/>
  <c r="V494" i="5"/>
  <c r="I494" i="5" s="1"/>
  <c r="V493" i="5"/>
  <c r="V491" i="5"/>
  <c r="V490" i="5"/>
  <c r="I490" i="5" s="1"/>
  <c r="V487" i="5"/>
  <c r="J487" i="5" s="1"/>
  <c r="V486" i="5"/>
  <c r="V483" i="5"/>
  <c r="R483" i="5" s="1"/>
  <c r="V482" i="5"/>
  <c r="V481" i="5"/>
  <c r="R481" i="5" s="1"/>
  <c r="V479" i="5"/>
  <c r="H479" i="5" s="1"/>
  <c r="V478" i="5"/>
  <c r="V477" i="5"/>
  <c r="V475" i="5"/>
  <c r="R475" i="5" s="1"/>
  <c r="V470" i="5"/>
  <c r="V469" i="5"/>
  <c r="V467" i="5"/>
  <c r="V463" i="5"/>
  <c r="V460" i="5"/>
  <c r="V458" i="5"/>
  <c r="V456" i="5"/>
  <c r="H456" i="5" s="1"/>
  <c r="V455" i="5"/>
  <c r="V454" i="5"/>
  <c r="V452" i="5"/>
  <c r="V451" i="5"/>
  <c r="V450" i="5"/>
  <c r="V448" i="5"/>
  <c r="V447" i="5"/>
  <c r="V444" i="5"/>
  <c r="F444" i="5" s="1"/>
  <c r="V443" i="5"/>
  <c r="F443" i="5" s="1"/>
  <c r="V440" i="5"/>
  <c r="R440" i="5" s="1"/>
  <c r="V439" i="5"/>
  <c r="R439" i="5" s="1"/>
  <c r="V436" i="5"/>
  <c r="E436" i="5" s="1"/>
  <c r="X436" i="5" s="1"/>
  <c r="V435" i="5"/>
  <c r="V432" i="5"/>
  <c r="R432" i="5" s="1"/>
  <c r="V431" i="5"/>
  <c r="R431" i="5" s="1"/>
  <c r="V428" i="5"/>
  <c r="V427" i="5"/>
  <c r="V424" i="5"/>
  <c r="R424" i="5" s="1"/>
  <c r="V423" i="5"/>
  <c r="R423" i="5" s="1"/>
  <c r="V420" i="5"/>
  <c r="V419" i="5"/>
  <c r="F419" i="5" s="1"/>
  <c r="V416" i="5"/>
  <c r="R416" i="5" s="1"/>
  <c r="V415" i="5"/>
  <c r="R415" i="5" s="1"/>
  <c r="V412" i="5"/>
  <c r="F412" i="5" s="1"/>
  <c r="V411" i="5"/>
  <c r="F411" i="5" s="1"/>
  <c r="V408" i="5"/>
  <c r="V407" i="5"/>
  <c r="R407" i="5" s="1"/>
  <c r="V404" i="5"/>
  <c r="F404" i="5" s="1"/>
  <c r="V403" i="5"/>
  <c r="F403" i="5" s="1"/>
  <c r="V400" i="5"/>
  <c r="V399" i="5"/>
  <c r="R399" i="5" s="1"/>
  <c r="V398" i="5"/>
  <c r="I398" i="5" s="1"/>
  <c r="V396" i="5"/>
  <c r="V395" i="5"/>
  <c r="V392" i="5"/>
  <c r="V391" i="5"/>
  <c r="V388" i="5"/>
  <c r="V387" i="5"/>
  <c r="V386" i="5"/>
  <c r="I386" i="5" s="1"/>
  <c r="V384" i="5"/>
  <c r="V383" i="5"/>
  <c r="V382" i="5"/>
  <c r="V380" i="5"/>
  <c r="V379" i="5"/>
  <c r="V376" i="5"/>
  <c r="E376" i="5" s="1"/>
  <c r="X376" i="5" s="1"/>
  <c r="V375" i="5"/>
  <c r="V372" i="5"/>
  <c r="V371" i="5"/>
  <c r="V370" i="5"/>
  <c r="V368" i="5"/>
  <c r="R368" i="5" s="1"/>
  <c r="V367" i="5"/>
  <c r="H367" i="5" s="1"/>
  <c r="V363" i="5"/>
  <c r="I363" i="5" s="1"/>
  <c r="V362" i="5"/>
  <c r="I362" i="5" s="1"/>
  <c r="V360" i="5"/>
  <c r="V359" i="5"/>
  <c r="V356" i="5"/>
  <c r="V355" i="5"/>
  <c r="V352" i="5"/>
  <c r="V351" i="5"/>
  <c r="V350" i="5"/>
  <c r="V348" i="5"/>
  <c r="V347" i="5"/>
  <c r="V346" i="5"/>
  <c r="V344" i="5"/>
  <c r="V343" i="5"/>
  <c r="I343" i="5" s="1"/>
  <c r="V342" i="5"/>
  <c r="V340" i="5"/>
  <c r="E340" i="5" s="1"/>
  <c r="V337" i="5"/>
  <c r="J337" i="5" s="1"/>
  <c r="V336" i="5"/>
  <c r="V335" i="5"/>
  <c r="R335" i="5" s="1"/>
  <c r="V334" i="5"/>
  <c r="V332" i="5"/>
  <c r="V331" i="5"/>
  <c r="R331" i="5" s="1"/>
  <c r="V330" i="5"/>
  <c r="V328" i="5"/>
  <c r="R328" i="5" s="1"/>
  <c r="V326" i="5"/>
  <c r="V325" i="5"/>
  <c r="V324" i="5"/>
  <c r="F324" i="5" s="1"/>
  <c r="V322" i="5"/>
  <c r="V321" i="5"/>
  <c r="R321" i="5" s="1"/>
  <c r="V320" i="5"/>
  <c r="V318" i="5"/>
  <c r="V317" i="5"/>
  <c r="V316" i="5"/>
  <c r="F316" i="5" s="1"/>
  <c r="V314" i="5"/>
  <c r="V312" i="5"/>
  <c r="R312" i="5" s="1"/>
  <c r="V310" i="5"/>
  <c r="V309" i="5"/>
  <c r="V308" i="5"/>
  <c r="V306" i="5"/>
  <c r="V303" i="5"/>
  <c r="E303" i="5" s="1"/>
  <c r="V301" i="5"/>
  <c r="F301" i="5" s="1"/>
  <c r="V300" i="5"/>
  <c r="V298" i="5"/>
  <c r="V297" i="5"/>
  <c r="V294" i="5"/>
  <c r="V293" i="5"/>
  <c r="V290" i="5"/>
  <c r="F290" i="5" s="1"/>
  <c r="V288" i="5"/>
  <c r="V285" i="5"/>
  <c r="V284" i="5"/>
  <c r="V282" i="5"/>
  <c r="R282" i="5" s="1"/>
  <c r="V28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4" i="5" l="1"/>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E1478" i="5"/>
  <c r="X1478" i="5" s="1"/>
  <c r="T2316" i="5"/>
  <c r="AB2412" i="5"/>
  <c r="S777" i="5"/>
  <c r="S1397" i="5"/>
  <c r="AB1565" i="5"/>
  <c r="AB1593" i="5"/>
  <c r="T1683" i="5"/>
  <c r="T2162" i="5"/>
  <c r="G549"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AB347" i="5"/>
  <c r="T799" i="5"/>
  <c r="AB1078" i="5"/>
  <c r="AB1109" i="5"/>
  <c r="J1478" i="5"/>
  <c r="T1671" i="5"/>
  <c r="T1740" i="5"/>
  <c r="S1898" i="5"/>
  <c r="T1966" i="5"/>
  <c r="T2420" i="5"/>
  <c r="AB2479" i="5"/>
  <c r="H2498"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G1229" i="5"/>
  <c r="AB1276" i="5"/>
  <c r="T1351" i="5"/>
  <c r="T1413" i="5"/>
  <c r="S1454" i="5"/>
  <c r="S1761" i="5"/>
  <c r="T1790" i="5"/>
  <c r="AB1805" i="5"/>
  <c r="S1820" i="5"/>
  <c r="S2046" i="5"/>
  <c r="T2130" i="5"/>
  <c r="H321" i="5"/>
  <c r="S632" i="5"/>
  <c r="G808"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E1752" i="5"/>
  <c r="X1752" i="5" s="1"/>
  <c r="H1752" i="5"/>
  <c r="I763" i="5"/>
  <c r="I2157" i="5"/>
  <c r="G290" i="5"/>
  <c r="AB363" i="5"/>
  <c r="R487" i="5"/>
  <c r="G760" i="5"/>
  <c r="H1177" i="5"/>
  <c r="J1217" i="5"/>
  <c r="J1249" i="5"/>
  <c r="AB1311" i="5"/>
  <c r="F2012" i="5"/>
  <c r="V2060" i="5"/>
  <c r="E2060" i="5" s="1"/>
  <c r="X2060" i="5" s="1"/>
  <c r="AB2064" i="5"/>
  <c r="AB2151" i="5"/>
  <c r="H2473" i="5"/>
  <c r="I301" i="5"/>
  <c r="AB466" i="5"/>
  <c r="AB519" i="5"/>
  <c r="AB626" i="5"/>
  <c r="R730" i="5"/>
  <c r="H842" i="5"/>
  <c r="H1207" i="5"/>
  <c r="F1247" i="5"/>
  <c r="AB1752" i="5"/>
  <c r="H2012" i="5"/>
  <c r="F2432" i="5"/>
  <c r="G583" i="5"/>
  <c r="H812" i="5"/>
  <c r="G1165" i="5"/>
  <c r="G1240" i="5"/>
  <c r="AB1164" i="5"/>
  <c r="AB1248" i="5"/>
  <c r="AB1272" i="5"/>
  <c r="AB1279" i="5"/>
  <c r="AB1316" i="5"/>
  <c r="AB1331" i="5"/>
  <c r="F1386" i="5"/>
  <c r="H1418" i="5"/>
  <c r="R1487" i="5"/>
  <c r="V1592" i="5"/>
  <c r="I1592" i="5" s="1"/>
  <c r="AB1914" i="5"/>
  <c r="F2071" i="5"/>
  <c r="AB2124" i="5"/>
  <c r="G2136" i="5"/>
  <c r="AB2272" i="5"/>
  <c r="H1249" i="5"/>
  <c r="H1442" i="5"/>
  <c r="V2341" i="5"/>
  <c r="E2341" i="5" s="1"/>
  <c r="X2341" i="5" s="1"/>
  <c r="AB371" i="5"/>
  <c r="AB375" i="5"/>
  <c r="AB379" i="5"/>
  <c r="AB1057" i="5"/>
  <c r="G1550" i="5"/>
  <c r="H1881" i="5"/>
  <c r="AB2029" i="5"/>
  <c r="AB2394" i="5"/>
  <c r="I2209"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I801" i="5"/>
  <c r="F801" i="5"/>
  <c r="I939" i="5"/>
  <c r="H939" i="5"/>
  <c r="R779" i="5"/>
  <c r="I779" i="5"/>
  <c r="E779" i="5"/>
  <c r="X779" i="5" s="1"/>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G294" i="5"/>
  <c r="AB437" i="5"/>
  <c r="AB458"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82" i="5"/>
  <c r="AB307" i="5"/>
  <c r="AB425" i="5"/>
  <c r="AB429" i="5"/>
  <c r="AB456" i="5"/>
  <c r="AB484" i="5"/>
  <c r="AB524"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J301" i="5"/>
  <c r="AB367" i="5"/>
  <c r="AB399" i="5"/>
  <c r="E412" i="5"/>
  <c r="X412" i="5" s="1"/>
  <c r="AB441" i="5"/>
  <c r="E490" i="5"/>
  <c r="X490" i="5" s="1"/>
  <c r="AB508" i="5"/>
  <c r="J527" i="5"/>
  <c r="AB535" i="5"/>
  <c r="AB555" i="5"/>
  <c r="AB590"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G300"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E1680" i="5" s="1"/>
  <c r="X1680" i="5" s="1"/>
  <c r="AB1680" i="5"/>
  <c r="T1714" i="5"/>
  <c r="S1714" i="5"/>
  <c r="R1897" i="5"/>
  <c r="J1897" i="5"/>
  <c r="G1986" i="5"/>
  <c r="F1986" i="5"/>
  <c r="I2004" i="5"/>
  <c r="R2004" i="5"/>
  <c r="S2128" i="5"/>
  <c r="T2128" i="5"/>
  <c r="R2149" i="5"/>
  <c r="H2149" i="5"/>
  <c r="G675" i="5"/>
  <c r="E290" i="5"/>
  <c r="X290" i="5" s="1"/>
  <c r="G479" i="5"/>
  <c r="V555" i="5"/>
  <c r="F555" i="5" s="1"/>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V329" i="5"/>
  <c r="G329" i="5" s="1"/>
  <c r="T894" i="5"/>
  <c r="AB894" i="5"/>
  <c r="S894" i="5"/>
  <c r="AB1862" i="5"/>
  <c r="T1862" i="5"/>
  <c r="S1862" i="5"/>
  <c r="F308" i="5"/>
  <c r="E308" i="5"/>
  <c r="F356" i="5"/>
  <c r="E356" i="5"/>
  <c r="G398" i="5"/>
  <c r="V462" i="5"/>
  <c r="R462" i="5" s="1"/>
  <c r="G585" i="5"/>
  <c r="F585" i="5"/>
  <c r="I713" i="5"/>
  <c r="J713" i="5"/>
  <c r="T737" i="5"/>
  <c r="S737" i="5"/>
  <c r="E451" i="5"/>
  <c r="X451" i="5" s="1"/>
  <c r="H451" i="5"/>
  <c r="F451" i="5"/>
  <c r="S1496" i="5"/>
  <c r="T1496" i="5"/>
  <c r="AB297" i="5"/>
  <c r="E450" i="5"/>
  <c r="F450" i="5"/>
  <c r="R452" i="5"/>
  <c r="J452" i="5"/>
  <c r="H452" i="5"/>
  <c r="F452" i="5"/>
  <c r="T1446" i="5"/>
  <c r="AB1446" i="5"/>
  <c r="S1446" i="5"/>
  <c r="V305" i="5"/>
  <c r="G305" i="5" s="1"/>
  <c r="I360" i="5"/>
  <c r="J360" i="5"/>
  <c r="H360" i="5"/>
  <c r="F360" i="5"/>
  <c r="V390" i="5"/>
  <c r="G390" i="5" s="1"/>
  <c r="G450" i="5"/>
  <c r="I478" i="5"/>
  <c r="H478" i="5"/>
  <c r="E478" i="5"/>
  <c r="X478" i="5" s="1"/>
  <c r="V573" i="5"/>
  <c r="F573" i="5" s="1"/>
  <c r="T640" i="5"/>
  <c r="S640" i="5"/>
  <c r="V313" i="5"/>
  <c r="G313" i="5" s="1"/>
  <c r="E467" i="5"/>
  <c r="X467" i="5" s="1"/>
  <c r="F467" i="5"/>
  <c r="V561" i="5"/>
  <c r="R561" i="5" s="1"/>
  <c r="I1847" i="5"/>
  <c r="H1847" i="5"/>
  <c r="I460" i="5"/>
  <c r="F460" i="5"/>
  <c r="J551" i="5"/>
  <c r="H551" i="5"/>
  <c r="R298" i="5"/>
  <c r="J298" i="5"/>
  <c r="E391" i="5"/>
  <c r="X391" i="5" s="1"/>
  <c r="I391" i="5"/>
  <c r="H391" i="5"/>
  <c r="F371" i="5"/>
  <c r="I371" i="5"/>
  <c r="H371" i="5"/>
  <c r="F391" i="5"/>
  <c r="R400" i="5"/>
  <c r="J400" i="5"/>
  <c r="F454" i="5"/>
  <c r="G454" i="5"/>
  <c r="I506" i="5"/>
  <c r="F506" i="5"/>
  <c r="I375" i="5"/>
  <c r="AB452" i="5"/>
  <c r="AB453" i="5"/>
  <c r="AB471" i="5"/>
  <c r="E526" i="5"/>
  <c r="X526" i="5" s="1"/>
  <c r="I526" i="5"/>
  <c r="I542" i="5"/>
  <c r="E542" i="5"/>
  <c r="X542" i="5" s="1"/>
  <c r="AB559" i="5"/>
  <c r="R583" i="5"/>
  <c r="F583" i="5"/>
  <c r="AB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V577" i="5"/>
  <c r="G577" i="5" s="1"/>
  <c r="E603" i="5"/>
  <c r="X603" i="5" s="1"/>
  <c r="R603" i="5"/>
  <c r="V643" i="5"/>
  <c r="R643" i="5" s="1"/>
  <c r="I721" i="5"/>
  <c r="J721" i="5"/>
  <c r="F787" i="5"/>
  <c r="E787" i="5"/>
  <c r="X787" i="5" s="1"/>
  <c r="V850" i="5"/>
  <c r="R850" i="5" s="1"/>
  <c r="AB850" i="5"/>
  <c r="T915" i="5"/>
  <c r="S915" i="5"/>
  <c r="T978" i="5"/>
  <c r="S978" i="5"/>
  <c r="V981" i="5"/>
  <c r="E981" i="5" s="1"/>
  <c r="X981" i="5" s="1"/>
  <c r="AB981" i="5"/>
  <c r="F985" i="5"/>
  <c r="H985" i="5"/>
  <c r="T1025" i="5"/>
  <c r="AB1025" i="5"/>
  <c r="S1025" i="5"/>
  <c r="V1085" i="5"/>
  <c r="F1085" i="5" s="1"/>
  <c r="AB1085" i="5"/>
  <c r="G303" i="5"/>
  <c r="AB356" i="5"/>
  <c r="AB364" i="5"/>
  <c r="AB433" i="5"/>
  <c r="F497" i="5"/>
  <c r="AB550" i="5"/>
  <c r="F559" i="5"/>
  <c r="V607" i="5"/>
  <c r="G607" i="5" s="1"/>
  <c r="G615" i="5"/>
  <c r="AB695" i="5"/>
  <c r="V695" i="5"/>
  <c r="R695" i="5" s="1"/>
  <c r="T712" i="5"/>
  <c r="S712" i="5"/>
  <c r="T744" i="5"/>
  <c r="S744" i="5"/>
  <c r="V807" i="5"/>
  <c r="G807" i="5" s="1"/>
  <c r="AB807" i="5"/>
  <c r="V871" i="5"/>
  <c r="H871" i="5" s="1"/>
  <c r="AB871" i="5"/>
  <c r="AB881" i="5"/>
  <c r="T881" i="5"/>
  <c r="S881" i="5"/>
  <c r="T949" i="5"/>
  <c r="S949" i="5"/>
  <c r="F974" i="5"/>
  <c r="H974" i="5"/>
  <c r="H1102" i="5"/>
  <c r="G1102" i="5"/>
  <c r="F1102" i="5"/>
  <c r="E615" i="5"/>
  <c r="X615" i="5" s="1"/>
  <c r="R615" i="5"/>
  <c r="S638" i="5"/>
  <c r="T648" i="5"/>
  <c r="S648" i="5"/>
  <c r="R684" i="5"/>
  <c r="H684" i="5"/>
  <c r="T732" i="5"/>
  <c r="S732" i="5"/>
  <c r="F767" i="5"/>
  <c r="E767" i="5"/>
  <c r="X767" i="5" s="1"/>
  <c r="F785" i="5"/>
  <c r="E785" i="5"/>
  <c r="X785" i="5" s="1"/>
  <c r="AB835" i="5"/>
  <c r="V835" i="5"/>
  <c r="E835" i="5" s="1"/>
  <c r="X835" i="5" s="1"/>
  <c r="T910" i="5"/>
  <c r="S910" i="5"/>
  <c r="T926" i="5"/>
  <c r="S926" i="5"/>
  <c r="S937" i="5"/>
  <c r="T937" i="5"/>
  <c r="T975" i="5"/>
  <c r="S975" i="5"/>
  <c r="V986" i="5"/>
  <c r="G986" i="5" s="1"/>
  <c r="AB1013" i="5"/>
  <c r="T1013" i="5"/>
  <c r="S1013" i="5"/>
  <c r="H1074" i="5"/>
  <c r="F1074" i="5"/>
  <c r="G1074" i="5"/>
  <c r="G1082" i="5"/>
  <c r="F1082" i="5"/>
  <c r="H1082" i="5"/>
  <c r="AB281" i="5"/>
  <c r="G284" i="5"/>
  <c r="G298" i="5"/>
  <c r="E300" i="5"/>
  <c r="AB355" i="5"/>
  <c r="AB450"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AB566" i="5"/>
  <c r="E655" i="5"/>
  <c r="X655" i="5" s="1"/>
  <c r="R655" i="5"/>
  <c r="T689" i="5"/>
  <c r="S689" i="5"/>
  <c r="R795" i="5"/>
  <c r="I795" i="5"/>
  <c r="F795" i="5"/>
  <c r="E795" i="5"/>
  <c r="X795" i="5" s="1"/>
  <c r="AB315" i="5"/>
  <c r="G337" i="5"/>
  <c r="H392" i="5"/>
  <c r="AB395" i="5"/>
  <c r="AB403" i="5"/>
  <c r="AB413" i="5"/>
  <c r="AB421" i="5"/>
  <c r="AB457" i="5"/>
  <c r="AB467" i="5"/>
  <c r="J479" i="5"/>
  <c r="F481" i="5"/>
  <c r="F502" i="5"/>
  <c r="V579" i="5"/>
  <c r="G579" i="5" s="1"/>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G1324" i="5" s="1"/>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E719" i="5" s="1"/>
  <c r="X719" i="5" s="1"/>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F1066" i="5" s="1"/>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X1496" i="5" s="1"/>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E1679" i="5" s="1"/>
  <c r="X1679" i="5" s="1"/>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R1734" i="5" s="1"/>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F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J2452" i="5"/>
  <c r="AB1569" i="5"/>
  <c r="AB1605" i="5"/>
  <c r="G1655"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R2214" i="5" s="1"/>
  <c r="S2217" i="5"/>
  <c r="AB2231" i="5"/>
  <c r="J2248" i="5"/>
  <c r="AB2282" i="5"/>
  <c r="AB2297" i="5"/>
  <c r="S2332" i="5"/>
  <c r="AB2336" i="5"/>
  <c r="AB2340" i="5"/>
  <c r="H2363" i="5"/>
  <c r="H2381" i="5"/>
  <c r="I2389" i="5"/>
  <c r="V2396" i="5"/>
  <c r="G2396" i="5" s="1"/>
  <c r="V2404" i="5"/>
  <c r="I2404" i="5" s="1"/>
  <c r="G2432" i="5"/>
  <c r="AB2439" i="5"/>
  <c r="S2465" i="5"/>
  <c r="T2468" i="5"/>
  <c r="G2473" i="5"/>
  <c r="AB2475" i="5"/>
  <c r="I372" i="5"/>
  <c r="R372" i="5"/>
  <c r="J372" i="5"/>
  <c r="H372" i="5"/>
  <c r="F372" i="5"/>
  <c r="E372" i="5"/>
  <c r="R336" i="5"/>
  <c r="J336" i="5"/>
  <c r="H336" i="5"/>
  <c r="F336" i="5"/>
  <c r="E336" i="5"/>
  <c r="X336" i="5" s="1"/>
  <c r="R288" i="5"/>
  <c r="F288" i="5"/>
  <c r="E288" i="5"/>
  <c r="X288" i="5" s="1"/>
  <c r="H294" i="5"/>
  <c r="F294" i="5"/>
  <c r="E294" i="5"/>
  <c r="X294" i="5" s="1"/>
  <c r="R294" i="5"/>
  <c r="G320" i="5"/>
  <c r="J320" i="5"/>
  <c r="H320" i="5"/>
  <c r="F320" i="5"/>
  <c r="E320" i="5"/>
  <c r="V333" i="5"/>
  <c r="G333" i="5" s="1"/>
  <c r="I346" i="5"/>
  <c r="F346" i="5"/>
  <c r="R359" i="5"/>
  <c r="F359" i="5"/>
  <c r="E403" i="5"/>
  <c r="X403" i="5" s="1"/>
  <c r="R403" i="5"/>
  <c r="I403" i="5"/>
  <c r="I436" i="5"/>
  <c r="R436" i="5"/>
  <c r="J436" i="5"/>
  <c r="H436" i="5"/>
  <c r="E443" i="5"/>
  <c r="X443" i="5" s="1"/>
  <c r="R443" i="5"/>
  <c r="I443" i="5"/>
  <c r="H443" i="5"/>
  <c r="E447" i="5"/>
  <c r="X447" i="5" s="1"/>
  <c r="I447" i="5"/>
  <c r="H447" i="5"/>
  <c r="F447" i="5"/>
  <c r="AB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V289" i="5"/>
  <c r="G289" i="5" s="1"/>
  <c r="I294" i="5"/>
  <c r="E316" i="5"/>
  <c r="G328" i="5"/>
  <c r="J328" i="5"/>
  <c r="H328" i="5"/>
  <c r="F328" i="5"/>
  <c r="E328" i="5"/>
  <c r="AB362" i="5"/>
  <c r="I368" i="5"/>
  <c r="J368" i="5"/>
  <c r="H368" i="5"/>
  <c r="F368" i="5"/>
  <c r="E368" i="5"/>
  <c r="I388" i="5"/>
  <c r="R388" i="5"/>
  <c r="J388" i="5"/>
  <c r="H388" i="5"/>
  <c r="F388" i="5"/>
  <c r="E388" i="5"/>
  <c r="X388" i="5" s="1"/>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I340" i="5"/>
  <c r="R340" i="5"/>
  <c r="J340" i="5"/>
  <c r="H340" i="5"/>
  <c r="F340" i="5"/>
  <c r="I396" i="5"/>
  <c r="R396" i="5"/>
  <c r="J396" i="5"/>
  <c r="H396" i="5"/>
  <c r="F396" i="5"/>
  <c r="E396" i="5"/>
  <c r="X396" i="5" s="1"/>
  <c r="V410" i="5"/>
  <c r="G410" i="5" s="1"/>
  <c r="G282" i="5"/>
  <c r="V292" i="5"/>
  <c r="G292" i="5" s="1"/>
  <c r="J294" i="5"/>
  <c r="H298" i="5"/>
  <c r="I298" i="5"/>
  <c r="F298" i="5"/>
  <c r="E298" i="5"/>
  <c r="X298" i="5" s="1"/>
  <c r="AB314" i="5"/>
  <c r="G324" i="5"/>
  <c r="R324" i="5"/>
  <c r="J324" i="5"/>
  <c r="H324" i="5"/>
  <c r="AB329" i="5"/>
  <c r="I347" i="5"/>
  <c r="R347" i="5"/>
  <c r="H347" i="5"/>
  <c r="F347" i="5"/>
  <c r="I352" i="5"/>
  <c r="R352" i="5"/>
  <c r="J352" i="5"/>
  <c r="H352" i="5"/>
  <c r="F352" i="5"/>
  <c r="R355" i="5"/>
  <c r="I355" i="5"/>
  <c r="I379" i="5"/>
  <c r="R379" i="5"/>
  <c r="F379" i="5"/>
  <c r="AB394" i="5"/>
  <c r="E399" i="5"/>
  <c r="X399" i="5" s="1"/>
  <c r="H399" i="5"/>
  <c r="F399" i="5"/>
  <c r="I408" i="5"/>
  <c r="J408" i="5"/>
  <c r="H408" i="5"/>
  <c r="F408" i="5"/>
  <c r="E408" i="5"/>
  <c r="X408" i="5" s="1"/>
  <c r="E420" i="5"/>
  <c r="X420" i="5" s="1"/>
  <c r="F427" i="5"/>
  <c r="I444" i="5"/>
  <c r="R444" i="5"/>
  <c r="J444" i="5"/>
  <c r="H444" i="5"/>
  <c r="R515" i="5"/>
  <c r="H515" i="5"/>
  <c r="R531" i="5"/>
  <c r="H531" i="5"/>
  <c r="E659" i="5"/>
  <c r="X659" i="5" s="1"/>
  <c r="R659" i="5"/>
  <c r="F659" i="5"/>
  <c r="AB866" i="5"/>
  <c r="V866" i="5"/>
  <c r="J866" i="5" s="1"/>
  <c r="T1002" i="5"/>
  <c r="S1002" i="5"/>
  <c r="AB1002" i="5"/>
  <c r="AB289" i="5"/>
  <c r="I348" i="5"/>
  <c r="J348" i="5"/>
  <c r="H348" i="5"/>
  <c r="F348" i="5"/>
  <c r="E348" i="5"/>
  <c r="X348" i="5" s="1"/>
  <c r="I380" i="5"/>
  <c r="J380" i="5"/>
  <c r="H380" i="5"/>
  <c r="F380" i="5"/>
  <c r="E380" i="5"/>
  <c r="X380" i="5" s="1"/>
  <c r="E407" i="5"/>
  <c r="X407" i="5" s="1"/>
  <c r="I407" i="5"/>
  <c r="H407" i="5"/>
  <c r="F407" i="5"/>
  <c r="I424" i="5"/>
  <c r="J424" i="5"/>
  <c r="H424" i="5"/>
  <c r="F424" i="5"/>
  <c r="E424" i="5"/>
  <c r="X424" i="5" s="1"/>
  <c r="R284" i="5"/>
  <c r="F284" i="5"/>
  <c r="E284" i="5"/>
  <c r="H290" i="5"/>
  <c r="R290" i="5"/>
  <c r="J290" i="5"/>
  <c r="I290" i="5"/>
  <c r="AB293" i="5"/>
  <c r="J303" i="5"/>
  <c r="I303" i="5"/>
  <c r="H303" i="5"/>
  <c r="V304" i="5"/>
  <c r="G304" i="5" s="1"/>
  <c r="E324" i="5"/>
  <c r="AB336" i="5"/>
  <c r="E352" i="5"/>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AB470" i="5"/>
  <c r="AB476" i="5"/>
  <c r="AB528" i="5"/>
  <c r="R605" i="5"/>
  <c r="F605" i="5"/>
  <c r="J641" i="5"/>
  <c r="R641" i="5"/>
  <c r="G641" i="5"/>
  <c r="F641" i="5"/>
  <c r="H843" i="5"/>
  <c r="J843" i="5"/>
  <c r="V286" i="5"/>
  <c r="G286" i="5" s="1"/>
  <c r="H282" i="5"/>
  <c r="J282" i="5"/>
  <c r="I282" i="5"/>
  <c r="F282" i="5"/>
  <c r="E282" i="5"/>
  <c r="X282" i="5" s="1"/>
  <c r="AB305" i="5"/>
  <c r="AB322" i="5"/>
  <c r="I344" i="5"/>
  <c r="R344" i="5"/>
  <c r="J344" i="5"/>
  <c r="H344" i="5"/>
  <c r="G346" i="5"/>
  <c r="AB348"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R455" i="5"/>
  <c r="I455" i="5"/>
  <c r="H455" i="5"/>
  <c r="R759" i="5"/>
  <c r="I759" i="5"/>
  <c r="F759" i="5"/>
  <c r="E759" i="5"/>
  <c r="X759" i="5" s="1"/>
  <c r="G316" i="5"/>
  <c r="R316" i="5"/>
  <c r="J316" i="5"/>
  <c r="H316" i="5"/>
  <c r="G312" i="5"/>
  <c r="J312" i="5"/>
  <c r="H312" i="5"/>
  <c r="F312" i="5"/>
  <c r="E312" i="5"/>
  <c r="R332" i="5"/>
  <c r="J332" i="5"/>
  <c r="H332" i="5"/>
  <c r="E332" i="5"/>
  <c r="E344" i="5"/>
  <c r="I356" i="5"/>
  <c r="R356" i="5"/>
  <c r="J356" i="5"/>
  <c r="H356" i="5"/>
  <c r="R363" i="5"/>
  <c r="R367" i="5"/>
  <c r="F367" i="5"/>
  <c r="E395" i="5"/>
  <c r="X395" i="5" s="1"/>
  <c r="R395" i="5"/>
  <c r="I395" i="5"/>
  <c r="H395" i="5"/>
  <c r="F395" i="5"/>
  <c r="I416" i="5"/>
  <c r="J416" i="5"/>
  <c r="H416" i="5"/>
  <c r="F416" i="5"/>
  <c r="E416" i="5"/>
  <c r="X416" i="5" s="1"/>
  <c r="E428" i="5"/>
  <c r="X428" i="5" s="1"/>
  <c r="F435" i="5"/>
  <c r="F455"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G288" i="5"/>
  <c r="V296" i="5"/>
  <c r="G296" i="5" s="1"/>
  <c r="G308" i="5"/>
  <c r="R308" i="5"/>
  <c r="J308" i="5"/>
  <c r="H308" i="5"/>
  <c r="AB313" i="5"/>
  <c r="R320" i="5"/>
  <c r="AB330"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J507" i="5"/>
  <c r="G507" i="5"/>
  <c r="J539" i="5"/>
  <c r="G539" i="5"/>
  <c r="R543" i="5"/>
  <c r="J543" i="5"/>
  <c r="H543" i="5"/>
  <c r="E563" i="5"/>
  <c r="X563" i="5" s="1"/>
  <c r="F563" i="5"/>
  <c r="R563" i="5"/>
  <c r="AB610" i="5"/>
  <c r="AB622" i="5"/>
  <c r="S622" i="5"/>
  <c r="T654" i="5"/>
  <c r="S654" i="5"/>
  <c r="I665" i="5"/>
  <c r="R665" i="5"/>
  <c r="J665" i="5"/>
  <c r="F665" i="5"/>
  <c r="E665" i="5"/>
  <c r="X665" i="5" s="1"/>
  <c r="G698" i="5"/>
  <c r="S703" i="5"/>
  <c r="AB703" i="5"/>
  <c r="T703" i="5"/>
  <c r="V716" i="5"/>
  <c r="G716" i="5" s="1"/>
  <c r="I733" i="5"/>
  <c r="J733" i="5"/>
  <c r="F733" i="5"/>
  <c r="E733" i="5"/>
  <c r="X733" i="5" s="1"/>
  <c r="AB751" i="5"/>
  <c r="V751" i="5"/>
  <c r="R751" i="5" s="1"/>
  <c r="AB848" i="5"/>
  <c r="T848" i="5"/>
  <c r="S848" i="5"/>
  <c r="H1005" i="5"/>
  <c r="F1005" i="5"/>
  <c r="E1005" i="5"/>
  <c r="X1005" i="5" s="1"/>
  <c r="R1407" i="5"/>
  <c r="J1407" i="5"/>
  <c r="I1413" i="5"/>
  <c r="R1413" i="5"/>
  <c r="H1413" i="5"/>
  <c r="F1413" i="5"/>
  <c r="R1552" i="5"/>
  <c r="F1552" i="5"/>
  <c r="AB310" i="5"/>
  <c r="AB318" i="5"/>
  <c r="AB326" i="5"/>
  <c r="AB343" i="5"/>
  <c r="AB346" i="5"/>
  <c r="R360" i="5"/>
  <c r="V364" i="5"/>
  <c r="G364" i="5" s="1"/>
  <c r="V378" i="5"/>
  <c r="R378" i="5" s="1"/>
  <c r="AB387" i="5"/>
  <c r="R391" i="5"/>
  <c r="R392" i="5"/>
  <c r="V406" i="5"/>
  <c r="R406" i="5" s="1"/>
  <c r="V414" i="5"/>
  <c r="J414" i="5" s="1"/>
  <c r="AB416" i="5"/>
  <c r="V422" i="5"/>
  <c r="H422" i="5" s="1"/>
  <c r="AB424" i="5"/>
  <c r="V430" i="5"/>
  <c r="G430" i="5" s="1"/>
  <c r="AB432" i="5"/>
  <c r="V438" i="5"/>
  <c r="G438" i="5" s="1"/>
  <c r="AB440" i="5"/>
  <c r="V446" i="5"/>
  <c r="G446" i="5" s="1"/>
  <c r="AB448" i="5"/>
  <c r="I450" i="5"/>
  <c r="I451" i="5"/>
  <c r="R460" i="5"/>
  <c r="E460" i="5"/>
  <c r="X460" i="5" s="1"/>
  <c r="V471" i="5"/>
  <c r="I471" i="5" s="1"/>
  <c r="AB488" i="5"/>
  <c r="AB500" i="5"/>
  <c r="AB504" i="5"/>
  <c r="AB512" i="5"/>
  <c r="AB520" i="5"/>
  <c r="AB536" i="5"/>
  <c r="H542" i="5"/>
  <c r="E546" i="5"/>
  <c r="X546" i="5" s="1"/>
  <c r="R555" i="5"/>
  <c r="J555" i="5"/>
  <c r="H562" i="5"/>
  <c r="F562" i="5"/>
  <c r="E562" i="5"/>
  <c r="X562" i="5" s="1"/>
  <c r="AB57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E506" i="5"/>
  <c r="X506" i="5" s="1"/>
  <c r="H538" i="5"/>
  <c r="E538" i="5"/>
  <c r="X538" i="5" s="1"/>
  <c r="H546" i="5"/>
  <c r="I550" i="5"/>
  <c r="H550" i="5"/>
  <c r="F550" i="5"/>
  <c r="E550" i="5"/>
  <c r="X550" i="5" s="1"/>
  <c r="E551" i="5"/>
  <c r="X551" i="5" s="1"/>
  <c r="G551" i="5"/>
  <c r="F551" i="5"/>
  <c r="R551"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I452" i="5"/>
  <c r="E452" i="5"/>
  <c r="X452" i="5" s="1"/>
  <c r="H511" i="5"/>
  <c r="R511" i="5"/>
  <c r="F511" i="5"/>
  <c r="V523" i="5"/>
  <c r="G523" i="5" s="1"/>
  <c r="R597" i="5"/>
  <c r="F597" i="5"/>
  <c r="R617" i="5"/>
  <c r="G617" i="5"/>
  <c r="V649" i="5"/>
  <c r="G649" i="5" s="1"/>
  <c r="R690" i="5"/>
  <c r="H690" i="5"/>
  <c r="V813" i="5"/>
  <c r="H813" i="5" s="1"/>
  <c r="E827" i="5"/>
  <c r="X827" i="5" s="1"/>
  <c r="J827" i="5"/>
  <c r="H827" i="5"/>
  <c r="F827" i="5"/>
  <c r="T883" i="5"/>
  <c r="S883" i="5"/>
  <c r="T970" i="5"/>
  <c r="AB970" i="5"/>
  <c r="S970" i="5"/>
  <c r="AB285" i="5"/>
  <c r="AB290" i="5"/>
  <c r="E301" i="5"/>
  <c r="X301" i="5" s="1"/>
  <c r="V302" i="5"/>
  <c r="G302" i="5" s="1"/>
  <c r="AB303" i="5"/>
  <c r="J321" i="5"/>
  <c r="AB370" i="5"/>
  <c r="R371" i="5"/>
  <c r="AB386" i="5"/>
  <c r="AB390" i="5"/>
  <c r="AB391" i="5"/>
  <c r="AB398" i="5"/>
  <c r="AB459" i="5"/>
  <c r="AB461" i="5"/>
  <c r="G475" i="5"/>
  <c r="R503" i="5"/>
  <c r="G511" i="5"/>
  <c r="J519" i="5"/>
  <c r="R519" i="5"/>
  <c r="AB532" i="5"/>
  <c r="R535" i="5"/>
  <c r="AB546" i="5"/>
  <c r="AB554" i="5"/>
  <c r="G565" i="5"/>
  <c r="G567" i="5"/>
  <c r="G571" i="5"/>
  <c r="V575" i="5"/>
  <c r="I575" i="5" s="1"/>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AB286" i="5"/>
  <c r="H301" i="5"/>
  <c r="AB308" i="5"/>
  <c r="AB316" i="5"/>
  <c r="AB324" i="5"/>
  <c r="AB334" i="5"/>
  <c r="E360" i="5"/>
  <c r="X360" i="5" s="1"/>
  <c r="E392" i="5"/>
  <c r="X392" i="5" s="1"/>
  <c r="AB412" i="5"/>
  <c r="AB420" i="5"/>
  <c r="AB428" i="5"/>
  <c r="AB436" i="5"/>
  <c r="AB444" i="5"/>
  <c r="E454" i="5"/>
  <c r="X454" i="5" s="1"/>
  <c r="I454" i="5"/>
  <c r="AB462" i="5"/>
  <c r="H490" i="5"/>
  <c r="F490" i="5"/>
  <c r="H494" i="5"/>
  <c r="E494" i="5"/>
  <c r="X494" i="5" s="1"/>
  <c r="V495" i="5"/>
  <c r="G495" i="5" s="1"/>
  <c r="AB503" i="5"/>
  <c r="H507" i="5"/>
  <c r="J511" i="5"/>
  <c r="H539" i="5"/>
  <c r="F543" i="5"/>
  <c r="AB558" i="5"/>
  <c r="G563" i="5"/>
  <c r="R613" i="5"/>
  <c r="G613" i="5"/>
  <c r="AB618" i="5"/>
  <c r="T618" i="5"/>
  <c r="S618" i="5"/>
  <c r="E623" i="5"/>
  <c r="X623" i="5" s="1"/>
  <c r="F623" i="5"/>
  <c r="R623" i="5"/>
  <c r="J623" i="5"/>
  <c r="V633" i="5"/>
  <c r="G633" i="5" s="1"/>
  <c r="R691" i="5"/>
  <c r="J691" i="5"/>
  <c r="I691" i="5"/>
  <c r="E691" i="5"/>
  <c r="X691" i="5" s="1"/>
  <c r="J707" i="5"/>
  <c r="I707" i="5"/>
  <c r="J715" i="5"/>
  <c r="I715" i="5"/>
  <c r="F715" i="5"/>
  <c r="F719" i="5"/>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H661" i="5" s="1"/>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R765" i="5" s="1"/>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I1006" i="5" s="1"/>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F615" i="5"/>
  <c r="AB624" i="5"/>
  <c r="T630" i="5"/>
  <c r="AB636" i="5"/>
  <c r="T646" i="5"/>
  <c r="AB652" i="5"/>
  <c r="AB656" i="5"/>
  <c r="G659" i="5"/>
  <c r="S662" i="5"/>
  <c r="I675" i="5"/>
  <c r="G688" i="5"/>
  <c r="S694" i="5"/>
  <c r="G696" i="5"/>
  <c r="H699" i="5"/>
  <c r="G700" i="5"/>
  <c r="AB708" i="5"/>
  <c r="V709" i="5"/>
  <c r="J709" i="5" s="1"/>
  <c r="AB716" i="5"/>
  <c r="V717" i="5"/>
  <c r="H717" i="5" s="1"/>
  <c r="G722" i="5"/>
  <c r="G726" i="5"/>
  <c r="G734" i="5"/>
  <c r="G740" i="5"/>
  <c r="V745" i="5"/>
  <c r="F745" i="5" s="1"/>
  <c r="I747" i="5"/>
  <c r="E755" i="5"/>
  <c r="X755" i="5" s="1"/>
  <c r="F757" i="5"/>
  <c r="V761" i="5"/>
  <c r="G761" i="5" s="1"/>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R749" i="5" s="1"/>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E882" i="5" s="1"/>
  <c r="X882" i="5" s="1"/>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E673" i="5"/>
  <c r="X673" i="5" s="1"/>
  <c r="H687" i="5"/>
  <c r="S696" i="5"/>
  <c r="J699" i="5"/>
  <c r="V737" i="5"/>
  <c r="H737" i="5" s="1"/>
  <c r="I739" i="5"/>
  <c r="J757" i="5"/>
  <c r="R767" i="5"/>
  <c r="I767" i="5"/>
  <c r="F771" i="5"/>
  <c r="T775" i="5"/>
  <c r="R787" i="5"/>
  <c r="I787" i="5"/>
  <c r="T791" i="5"/>
  <c r="J797" i="5"/>
  <c r="I799" i="5"/>
  <c r="E801" i="5"/>
  <c r="X801" i="5" s="1"/>
  <c r="S803" i="5"/>
  <c r="T803" i="5"/>
  <c r="AB811" i="5"/>
  <c r="J819" i="5"/>
  <c r="F819" i="5"/>
  <c r="E819" i="5"/>
  <c r="X819" i="5" s="1"/>
  <c r="H824" i="5"/>
  <c r="J824" i="5"/>
  <c r="AB828" i="5"/>
  <c r="J831" i="5"/>
  <c r="J847" i="5"/>
  <c r="H847"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T989" i="5"/>
  <c r="J990" i="5"/>
  <c r="AB994" i="5"/>
  <c r="H1010" i="5"/>
  <c r="S1014" i="5"/>
  <c r="AB1018" i="5"/>
  <c r="H1030" i="5"/>
  <c r="S1034" i="5"/>
  <c r="V1038" i="5"/>
  <c r="G1038" i="5" s="1"/>
  <c r="G1046" i="5"/>
  <c r="S1047" i="5"/>
  <c r="T1049" i="5"/>
  <c r="S1054" i="5"/>
  <c r="S1059" i="5"/>
  <c r="AB1061" i="5"/>
  <c r="S1065" i="5"/>
  <c r="T1079" i="5"/>
  <c r="S1079" i="5"/>
  <c r="S1082" i="5"/>
  <c r="S1087" i="5"/>
  <c r="F1101" i="5"/>
  <c r="V1109" i="5"/>
  <c r="F1109" i="5" s="1"/>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32" i="5" s="1"/>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V1122" i="5"/>
  <c r="G1122" i="5" s="1"/>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I1203" i="5" s="1"/>
  <c r="AB1203" i="5"/>
  <c r="T1228" i="5"/>
  <c r="S1228" i="5"/>
  <c r="AB1228" i="5"/>
  <c r="V1288" i="5"/>
  <c r="H1288" i="5" s="1"/>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R1296" i="5" s="1"/>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AB1255" i="5"/>
  <c r="AB1268" i="5"/>
  <c r="T1270" i="5"/>
  <c r="S1270" i="5"/>
  <c r="S1278" i="5"/>
  <c r="AB1284" i="5"/>
  <c r="F1355" i="5"/>
  <c r="E1355" i="5"/>
  <c r="X1355" i="5" s="1"/>
  <c r="AB1380" i="5"/>
  <c r="T1383" i="5"/>
  <c r="S1383" i="5"/>
  <c r="AB1466" i="5"/>
  <c r="E1728" i="5"/>
  <c r="X1728" i="5" s="1"/>
  <c r="H1728" i="5"/>
  <c r="F1728" i="5"/>
  <c r="I1728" i="5"/>
  <c r="AB1296"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H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H1284" i="5" s="1"/>
  <c r="AB1288" i="5"/>
  <c r="G1300" i="5"/>
  <c r="S1301" i="5"/>
  <c r="T1312" i="5"/>
  <c r="AB1315" i="5"/>
  <c r="V1316" i="5"/>
  <c r="G1316" i="5" s="1"/>
  <c r="AB1320" i="5"/>
  <c r="G1332" i="5"/>
  <c r="S1333" i="5"/>
  <c r="G1335" i="5"/>
  <c r="G1348" i="5"/>
  <c r="S1381" i="5"/>
  <c r="AB1389" i="5"/>
  <c r="G1396" i="5"/>
  <c r="AB1404" i="5"/>
  <c r="G1413" i="5"/>
  <c r="V1429" i="5"/>
  <c r="V1437" i="5"/>
  <c r="E1437" i="5" s="1"/>
  <c r="X1437" i="5" s="1"/>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T1331" i="5"/>
  <c r="S1338" i="5"/>
  <c r="AB1359" i="5"/>
  <c r="F1370" i="5"/>
  <c r="F1379" i="5"/>
  <c r="G1409" i="5"/>
  <c r="G1422" i="5"/>
  <c r="F1449" i="5"/>
  <c r="E1450" i="5"/>
  <c r="X1450" i="5" s="1"/>
  <c r="G1466" i="5"/>
  <c r="I1467" i="5"/>
  <c r="AB1480" i="5"/>
  <c r="S1480" i="5"/>
  <c r="T1484" i="5"/>
  <c r="T1488" i="5"/>
  <c r="H1490" i="5"/>
  <c r="S1498" i="5"/>
  <c r="V1507" i="5"/>
  <c r="H1507" i="5" s="1"/>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G1370" i="5"/>
  <c r="G1376" i="5"/>
  <c r="H1379" i="5"/>
  <c r="S1395" i="5"/>
  <c r="F1401"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R1712" i="5" s="1"/>
  <c r="T1785" i="5"/>
  <c r="AB1785" i="5"/>
  <c r="S1785" i="5"/>
  <c r="E1815" i="5"/>
  <c r="X1815" i="5" s="1"/>
  <c r="J1815" i="5"/>
  <c r="R1892" i="5"/>
  <c r="F1892" i="5"/>
  <c r="E1892" i="5"/>
  <c r="X1892" i="5" s="1"/>
  <c r="J1892" i="5"/>
  <c r="I1892" i="5"/>
  <c r="AB1231" i="5"/>
  <c r="AB1247" i="5"/>
  <c r="S1266" i="5"/>
  <c r="S1285" i="5"/>
  <c r="S1298"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H1632" i="5"/>
  <c r="T1646" i="5"/>
  <c r="S1646" i="5"/>
  <c r="E1648" i="5"/>
  <c r="X1648" i="5" s="1"/>
  <c r="I1648" i="5"/>
  <c r="H1648" i="5"/>
  <c r="F1648" i="5"/>
  <c r="AB1683" i="5"/>
  <c r="V1683" i="5"/>
  <c r="F1683" i="5" s="1"/>
  <c r="AB1707" i="5"/>
  <c r="V1707" i="5"/>
  <c r="E1707" i="5" s="1"/>
  <c r="X1707" i="5" s="1"/>
  <c r="V1785" i="5"/>
  <c r="G1785" i="5" s="1"/>
  <c r="AB1798" i="5"/>
  <c r="T1798" i="5"/>
  <c r="S1798" i="5"/>
  <c r="I1842" i="5"/>
  <c r="H1842" i="5"/>
  <c r="R1907" i="5"/>
  <c r="I1907" i="5"/>
  <c r="R1915" i="5"/>
  <c r="I1915" i="5"/>
  <c r="G1217" i="5"/>
  <c r="F1276" i="5"/>
  <c r="S1281" i="5"/>
  <c r="F1308" i="5"/>
  <c r="S1313" i="5"/>
  <c r="AB1360"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F1753" i="5" s="1"/>
  <c r="AB1753" i="5"/>
  <c r="T1789" i="5"/>
  <c r="AB1789" i="5"/>
  <c r="S1789" i="5"/>
  <c r="AB1810" i="5"/>
  <c r="T1810" i="5"/>
  <c r="S1810" i="5"/>
  <c r="G1842" i="5"/>
  <c r="T1871" i="5"/>
  <c r="AB1871" i="5"/>
  <c r="AB1512" i="5"/>
  <c r="AB1536" i="5"/>
  <c r="AB1541" i="5"/>
  <c r="AB1580" i="5"/>
  <c r="AB1612" i="5"/>
  <c r="V1640" i="5"/>
  <c r="G1640" i="5" s="1"/>
  <c r="V1656" i="5"/>
  <c r="G1656" i="5" s="1"/>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H1643" i="5" s="1"/>
  <c r="AB1644" i="5"/>
  <c r="AB1647" i="5"/>
  <c r="S1650" i="5"/>
  <c r="AB1652" i="5"/>
  <c r="AB1655" i="5"/>
  <c r="AB1658" i="5"/>
  <c r="I1660" i="5"/>
  <c r="S1679"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H2076" i="5" s="1"/>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R2015" i="5" s="1"/>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J2043" i="5" s="1"/>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R2091" i="5" s="1"/>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E2160" i="5" s="1"/>
  <c r="X2160" i="5" s="1"/>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F2156" i="5" s="1"/>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AB2196" i="5"/>
  <c r="AB2199" i="5"/>
  <c r="AB2212" i="5"/>
  <c r="AB2215" i="5"/>
  <c r="G2217" i="5"/>
  <c r="E2220" i="5"/>
  <c r="X2220" i="5" s="1"/>
  <c r="AB2252" i="5"/>
  <c r="E2260" i="5"/>
  <c r="X2260" i="5" s="1"/>
  <c r="S2269" i="5"/>
  <c r="AB2276" i="5"/>
  <c r="AB2292" i="5"/>
  <c r="V2292" i="5"/>
  <c r="J2292" i="5" s="1"/>
  <c r="S2295" i="5"/>
  <c r="I2302" i="5"/>
  <c r="F2308" i="5"/>
  <c r="V2309" i="5"/>
  <c r="F2309" i="5" s="1"/>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G2172" i="5" s="1"/>
  <c r="AB2183" i="5"/>
  <c r="AB2187" i="5"/>
  <c r="AB2191" i="5"/>
  <c r="G2193" i="5"/>
  <c r="G2201" i="5"/>
  <c r="AB2204" i="5"/>
  <c r="AB2207" i="5"/>
  <c r="G2209" i="5"/>
  <c r="H2217" i="5"/>
  <c r="F2220" i="5"/>
  <c r="V2231" i="5"/>
  <c r="R2231" i="5" s="1"/>
  <c r="AB2239" i="5"/>
  <c r="AB2248"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R2329" i="5" s="1"/>
  <c r="V2333" i="5"/>
  <c r="R2333" i="5" s="1"/>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G2479" i="5" s="1"/>
  <c r="I2483" i="5"/>
  <c r="E2493" i="5"/>
  <c r="H2502" i="5"/>
  <c r="AB2385"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H285" i="5"/>
  <c r="F285" i="5"/>
  <c r="E285" i="5"/>
  <c r="X285" i="5" s="1"/>
  <c r="R285" i="5"/>
  <c r="J285" i="5"/>
  <c r="I285" i="5"/>
  <c r="AB319" i="5"/>
  <c r="V319" i="5"/>
  <c r="G319" i="5" s="1"/>
  <c r="AB411" i="5"/>
  <c r="R310" i="5"/>
  <c r="H310" i="5"/>
  <c r="I310" i="5"/>
  <c r="F310" i="5"/>
  <c r="E310" i="5"/>
  <c r="J310" i="5"/>
  <c r="G285" i="5"/>
  <c r="AB291" i="5"/>
  <c r="G310" i="5"/>
  <c r="R322" i="5"/>
  <c r="H322" i="5"/>
  <c r="J322" i="5"/>
  <c r="I322" i="5"/>
  <c r="F322" i="5"/>
  <c r="E322" i="5"/>
  <c r="AB359" i="5"/>
  <c r="E370" i="5"/>
  <c r="X370" i="5" s="1"/>
  <c r="R370" i="5"/>
  <c r="J370" i="5"/>
  <c r="H370" i="5"/>
  <c r="I370" i="5"/>
  <c r="F370" i="5"/>
  <c r="E382" i="5"/>
  <c r="R382" i="5"/>
  <c r="J382" i="5"/>
  <c r="T382" i="5" s="1"/>
  <c r="H382" i="5"/>
  <c r="I382" i="5"/>
  <c r="G382" i="5"/>
  <c r="F382" i="5"/>
  <c r="AB295" i="5"/>
  <c r="R318" i="5"/>
  <c r="H318" i="5"/>
  <c r="I318" i="5"/>
  <c r="F318" i="5"/>
  <c r="E318" i="5"/>
  <c r="J318" i="5"/>
  <c r="AB327" i="5"/>
  <c r="V327" i="5"/>
  <c r="G327" i="5" s="1"/>
  <c r="E350" i="5"/>
  <c r="X350" i="5" s="1"/>
  <c r="R350" i="5"/>
  <c r="J350" i="5"/>
  <c r="H350" i="5"/>
  <c r="I350" i="5"/>
  <c r="F350" i="5"/>
  <c r="AB357" i="5"/>
  <c r="V357" i="5"/>
  <c r="G357" i="5" s="1"/>
  <c r="H293" i="5"/>
  <c r="F293" i="5"/>
  <c r="E293" i="5"/>
  <c r="X293" i="5" s="1"/>
  <c r="R293" i="5"/>
  <c r="J293" i="5"/>
  <c r="I293" i="5"/>
  <c r="R306" i="5"/>
  <c r="H306" i="5"/>
  <c r="J306" i="5"/>
  <c r="I306" i="5"/>
  <c r="F306" i="5"/>
  <c r="E306" i="5"/>
  <c r="X306" i="5" s="1"/>
  <c r="G318" i="5"/>
  <c r="AB407" i="5"/>
  <c r="AB283" i="5"/>
  <c r="G293" i="5"/>
  <c r="AB299" i="5"/>
  <c r="AB302" i="5"/>
  <c r="AB311" i="5"/>
  <c r="V311" i="5"/>
  <c r="G311" i="5" s="1"/>
  <c r="R330" i="5"/>
  <c r="H330" i="5"/>
  <c r="J330" i="5"/>
  <c r="I330" i="5"/>
  <c r="F330" i="5"/>
  <c r="E330" i="5"/>
  <c r="E383" i="5"/>
  <c r="X383" i="5" s="1"/>
  <c r="J383" i="5"/>
  <c r="R383" i="5"/>
  <c r="I383" i="5"/>
  <c r="H383" i="5"/>
  <c r="F383" i="5"/>
  <c r="AB401" i="5"/>
  <c r="V401" i="5"/>
  <c r="G401" i="5" s="1"/>
  <c r="H281" i="5"/>
  <c r="F281" i="5"/>
  <c r="E281" i="5"/>
  <c r="R281" i="5"/>
  <c r="J281" i="5"/>
  <c r="I281" i="5"/>
  <c r="H297" i="5"/>
  <c r="F297" i="5"/>
  <c r="E297" i="5"/>
  <c r="X297" i="5" s="1"/>
  <c r="R297" i="5"/>
  <c r="J297" i="5"/>
  <c r="I297" i="5"/>
  <c r="R326" i="5"/>
  <c r="H326" i="5"/>
  <c r="I326" i="5"/>
  <c r="F326" i="5"/>
  <c r="E326" i="5"/>
  <c r="J326" i="5"/>
  <c r="V338" i="5"/>
  <c r="G338" i="5" s="1"/>
  <c r="E351" i="5"/>
  <c r="X351" i="5" s="1"/>
  <c r="J351" i="5"/>
  <c r="R351" i="5"/>
  <c r="I351" i="5"/>
  <c r="H351" i="5"/>
  <c r="F351" i="5"/>
  <c r="AB360" i="5"/>
  <c r="I469" i="5"/>
  <c r="H469" i="5"/>
  <c r="F469" i="5"/>
  <c r="E469" i="5"/>
  <c r="X469" i="5" s="1"/>
  <c r="R469" i="5"/>
  <c r="J469" i="5"/>
  <c r="I493" i="5"/>
  <c r="H493" i="5"/>
  <c r="E493" i="5"/>
  <c r="X493" i="5" s="1"/>
  <c r="R493" i="5"/>
  <c r="J493" i="5"/>
  <c r="G493" i="5"/>
  <c r="F493" i="5"/>
  <c r="G281" i="5"/>
  <c r="AB287" i="5"/>
  <c r="G297" i="5"/>
  <c r="R314" i="5"/>
  <c r="H314" i="5"/>
  <c r="J314" i="5"/>
  <c r="T314" i="5" s="1"/>
  <c r="I314" i="5"/>
  <c r="F314" i="5"/>
  <c r="E314" i="5"/>
  <c r="G326" i="5"/>
  <c r="E334" i="5"/>
  <c r="R334" i="5"/>
  <c r="H334" i="5"/>
  <c r="J334" i="5"/>
  <c r="I334" i="5"/>
  <c r="F334" i="5"/>
  <c r="V358" i="5"/>
  <c r="G358" i="5" s="1"/>
  <c r="I309" i="5"/>
  <c r="F309" i="5"/>
  <c r="I317" i="5"/>
  <c r="F317" i="5"/>
  <c r="I325" i="5"/>
  <c r="F325" i="5"/>
  <c r="E331" i="5"/>
  <c r="X331" i="5" s="1"/>
  <c r="J331" i="5"/>
  <c r="AB335" i="5"/>
  <c r="E342" i="5"/>
  <c r="X342" i="5" s="1"/>
  <c r="R342" i="5"/>
  <c r="J342" i="5"/>
  <c r="H342" i="5"/>
  <c r="E343" i="5"/>
  <c r="X343" i="5" s="1"/>
  <c r="J343" i="5"/>
  <c r="AB349" i="5"/>
  <c r="V349" i="5"/>
  <c r="G349" i="5" s="1"/>
  <c r="I367" i="5"/>
  <c r="AB372" i="5"/>
  <c r="V374" i="5"/>
  <c r="E375" i="5"/>
  <c r="J375" i="5"/>
  <c r="H379" i="5"/>
  <c r="AB381" i="5"/>
  <c r="V381" i="5"/>
  <c r="AB384" i="5"/>
  <c r="R470" i="5"/>
  <c r="J470" i="5"/>
  <c r="I470" i="5"/>
  <c r="H470" i="5"/>
  <c r="G470" i="5"/>
  <c r="F470" i="5"/>
  <c r="E470" i="5"/>
  <c r="X470" i="5" s="1"/>
  <c r="R498" i="5"/>
  <c r="J498" i="5"/>
  <c r="I498" i="5"/>
  <c r="H498" i="5"/>
  <c r="F498" i="5"/>
  <c r="E498" i="5"/>
  <c r="X498" i="5" s="1"/>
  <c r="R530" i="5"/>
  <c r="J530" i="5"/>
  <c r="I530" i="5"/>
  <c r="H530" i="5"/>
  <c r="F530" i="5"/>
  <c r="E530" i="5"/>
  <c r="X530" i="5" s="1"/>
  <c r="V283" i="5"/>
  <c r="G283" i="5" s="1"/>
  <c r="H284" i="5"/>
  <c r="AB284" i="5"/>
  <c r="V287" i="5"/>
  <c r="H288" i="5"/>
  <c r="AB288" i="5"/>
  <c r="V291" i="5"/>
  <c r="G291" i="5" s="1"/>
  <c r="AB292" i="5"/>
  <c r="V295" i="5"/>
  <c r="AB296" i="5"/>
  <c r="V299" i="5"/>
  <c r="G299" i="5" s="1"/>
  <c r="H300" i="5"/>
  <c r="AB300" i="5"/>
  <c r="R301" i="5"/>
  <c r="R303" i="5"/>
  <c r="V307" i="5"/>
  <c r="I308" i="5"/>
  <c r="E309" i="5"/>
  <c r="AB309" i="5"/>
  <c r="V315" i="5"/>
  <c r="I316" i="5"/>
  <c r="E317" i="5"/>
  <c r="AB317" i="5"/>
  <c r="V323" i="5"/>
  <c r="I324" i="5"/>
  <c r="E325" i="5"/>
  <c r="AB325" i="5"/>
  <c r="AB331" i="5"/>
  <c r="G334" i="5"/>
  <c r="G335" i="5"/>
  <c r="I336" i="5"/>
  <c r="G336" i="5"/>
  <c r="AB342" i="5"/>
  <c r="AB352" i="5"/>
  <c r="V354" i="5"/>
  <c r="E355" i="5"/>
  <c r="J355" i="5"/>
  <c r="H359" i="5"/>
  <c r="AB361" i="5"/>
  <c r="V361" i="5"/>
  <c r="G370" i="5"/>
  <c r="AB374" i="5"/>
  <c r="AB388" i="5"/>
  <c r="R458" i="5"/>
  <c r="G458" i="5"/>
  <c r="F458" i="5"/>
  <c r="E458" i="5"/>
  <c r="X458" i="5" s="1"/>
  <c r="J458" i="5"/>
  <c r="I458" i="5"/>
  <c r="H458" i="5"/>
  <c r="I284" i="5"/>
  <c r="I288" i="5"/>
  <c r="I296" i="5"/>
  <c r="I300" i="5"/>
  <c r="AB304" i="5"/>
  <c r="G306" i="5"/>
  <c r="G309" i="5"/>
  <c r="AB312" i="5"/>
  <c r="G314" i="5"/>
  <c r="G317" i="5"/>
  <c r="AB320" i="5"/>
  <c r="G322" i="5"/>
  <c r="G325" i="5"/>
  <c r="AB328" i="5"/>
  <c r="G330" i="5"/>
  <c r="G331" i="5"/>
  <c r="I332" i="5"/>
  <c r="G332" i="5"/>
  <c r="F335" i="5"/>
  <c r="AB341" i="5"/>
  <c r="V341" i="5"/>
  <c r="G350" i="5"/>
  <c r="I359" i="5"/>
  <c r="F362" i="5"/>
  <c r="V366" i="5"/>
  <c r="E367" i="5"/>
  <c r="X367" i="5" s="1"/>
  <c r="J367" i="5"/>
  <c r="AB373" i="5"/>
  <c r="V373" i="5"/>
  <c r="AB385" i="5"/>
  <c r="V385" i="5"/>
  <c r="F386" i="5"/>
  <c r="AB392" i="5"/>
  <c r="E398" i="5"/>
  <c r="X398" i="5" s="1"/>
  <c r="R398" i="5"/>
  <c r="J398" i="5"/>
  <c r="H398" i="5"/>
  <c r="E463" i="5"/>
  <c r="X463" i="5" s="1"/>
  <c r="I463" i="5"/>
  <c r="H463" i="5"/>
  <c r="G463" i="5"/>
  <c r="F463" i="5"/>
  <c r="R463" i="5"/>
  <c r="J463" i="5"/>
  <c r="I477" i="5"/>
  <c r="H477" i="5"/>
  <c r="E477" i="5"/>
  <c r="X477" i="5" s="1"/>
  <c r="R477" i="5"/>
  <c r="J477" i="5"/>
  <c r="G477" i="5"/>
  <c r="F477" i="5"/>
  <c r="J284" i="5"/>
  <c r="J288" i="5"/>
  <c r="J300" i="5"/>
  <c r="H309" i="5"/>
  <c r="H317" i="5"/>
  <c r="H325" i="5"/>
  <c r="F331" i="5"/>
  <c r="AB332" i="5"/>
  <c r="H335" i="5"/>
  <c r="F342" i="5"/>
  <c r="AB344" i="5"/>
  <c r="E346" i="5"/>
  <c r="R346" i="5"/>
  <c r="J346" i="5"/>
  <c r="H346" i="5"/>
  <c r="E347" i="5"/>
  <c r="X347" i="5" s="1"/>
  <c r="J347" i="5"/>
  <c r="AB353" i="5"/>
  <c r="V353" i="5"/>
  <c r="G353" i="5" s="1"/>
  <c r="G362" i="5"/>
  <c r="F363" i="5"/>
  <c r="AB366" i="5"/>
  <c r="AB376" i="5"/>
  <c r="E378" i="5"/>
  <c r="X378" i="5" s="1"/>
  <c r="E379" i="5"/>
  <c r="X379" i="5" s="1"/>
  <c r="J379" i="5"/>
  <c r="G386" i="5"/>
  <c r="AB389" i="5"/>
  <c r="V389" i="5"/>
  <c r="AB396" i="5"/>
  <c r="R482" i="5"/>
  <c r="J482" i="5"/>
  <c r="I482" i="5"/>
  <c r="H482" i="5"/>
  <c r="F482" i="5"/>
  <c r="E482" i="5"/>
  <c r="I509" i="5"/>
  <c r="H509" i="5"/>
  <c r="E509" i="5"/>
  <c r="X509" i="5" s="1"/>
  <c r="R509" i="5"/>
  <c r="J509" i="5"/>
  <c r="G509" i="5"/>
  <c r="F509" i="5"/>
  <c r="I541" i="5"/>
  <c r="H541" i="5"/>
  <c r="E541" i="5"/>
  <c r="R541" i="5"/>
  <c r="J541" i="5"/>
  <c r="G541" i="5"/>
  <c r="F541" i="5"/>
  <c r="J309" i="5"/>
  <c r="I313" i="5"/>
  <c r="J317" i="5"/>
  <c r="I321" i="5"/>
  <c r="F321" i="5"/>
  <c r="J325" i="5"/>
  <c r="H331" i="5"/>
  <c r="I335" i="5"/>
  <c r="R337" i="5"/>
  <c r="I337" i="5"/>
  <c r="F337" i="5"/>
  <c r="AB337" i="5"/>
  <c r="G342" i="5"/>
  <c r="F343" i="5"/>
  <c r="E359" i="5"/>
  <c r="J359" i="5"/>
  <c r="H363" i="5"/>
  <c r="AB365" i="5"/>
  <c r="V365" i="5"/>
  <c r="AB393" i="5"/>
  <c r="V393" i="5"/>
  <c r="AB400" i="5"/>
  <c r="AB415" i="5"/>
  <c r="R514" i="5"/>
  <c r="J514" i="5"/>
  <c r="I514" i="5"/>
  <c r="H514" i="5"/>
  <c r="F514" i="5"/>
  <c r="E514" i="5"/>
  <c r="X514" i="5" s="1"/>
  <c r="G301" i="5"/>
  <c r="F303" i="5"/>
  <c r="R309" i="5"/>
  <c r="I312" i="5"/>
  <c r="R317" i="5"/>
  <c r="I320" i="5"/>
  <c r="E321" i="5"/>
  <c r="R325" i="5"/>
  <c r="I328" i="5"/>
  <c r="I331" i="5"/>
  <c r="F332" i="5"/>
  <c r="AB333" i="5"/>
  <c r="E337" i="5"/>
  <c r="AB338" i="5"/>
  <c r="V339" i="5"/>
  <c r="G339" i="5" s="1"/>
  <c r="I342" i="5"/>
  <c r="H343" i="5"/>
  <c r="AB345" i="5"/>
  <c r="V345" i="5"/>
  <c r="F355" i="5"/>
  <c r="AB358" i="5"/>
  <c r="AB368" i="5"/>
  <c r="E371" i="5"/>
  <c r="X371" i="5" s="1"/>
  <c r="J371" i="5"/>
  <c r="H375" i="5"/>
  <c r="AB377" i="5"/>
  <c r="V377" i="5"/>
  <c r="AB397" i="5"/>
  <c r="V397" i="5"/>
  <c r="F398" i="5"/>
  <c r="AB404" i="5"/>
  <c r="AB408" i="5"/>
  <c r="E335" i="5"/>
  <c r="J335" i="5"/>
  <c r="R343" i="5"/>
  <c r="AB350" i="5"/>
  <c r="AB351" i="5"/>
  <c r="E362" i="5"/>
  <c r="R362" i="5"/>
  <c r="J362" i="5"/>
  <c r="H362" i="5"/>
  <c r="E363" i="5"/>
  <c r="X363" i="5" s="1"/>
  <c r="J363" i="5"/>
  <c r="AB369" i="5"/>
  <c r="V369" i="5"/>
  <c r="G369" i="5" s="1"/>
  <c r="E386" i="5"/>
  <c r="R386" i="5"/>
  <c r="J386" i="5"/>
  <c r="H386" i="5"/>
  <c r="AB405" i="5"/>
  <c r="V405" i="5"/>
  <c r="G405" i="5" s="1"/>
  <c r="I525" i="5"/>
  <c r="H525" i="5"/>
  <c r="E525" i="5"/>
  <c r="X525" i="5" s="1"/>
  <c r="R525" i="5"/>
  <c r="J525" i="5"/>
  <c r="G525" i="5"/>
  <c r="F525" i="5"/>
  <c r="J387" i="5"/>
  <c r="J391" i="5"/>
  <c r="J395" i="5"/>
  <c r="J399" i="5"/>
  <c r="J403" i="5"/>
  <c r="J407" i="5"/>
  <c r="V409" i="5"/>
  <c r="J411" i="5"/>
  <c r="V413" i="5"/>
  <c r="J415" i="5"/>
  <c r="V417" i="5"/>
  <c r="J419" i="5"/>
  <c r="V421" i="5"/>
  <c r="J423" i="5"/>
  <c r="V425" i="5"/>
  <c r="J427" i="5"/>
  <c r="V429" i="5"/>
  <c r="J431" i="5"/>
  <c r="V433" i="5"/>
  <c r="J435" i="5"/>
  <c r="V437" i="5"/>
  <c r="J439" i="5"/>
  <c r="V441" i="5"/>
  <c r="H442" i="5"/>
  <c r="J443" i="5"/>
  <c r="V445" i="5"/>
  <c r="J447" i="5"/>
  <c r="V449" i="5"/>
  <c r="H450" i="5"/>
  <c r="J451" i="5"/>
  <c r="V453" i="5"/>
  <c r="H454" i="5"/>
  <c r="J455" i="5"/>
  <c r="V457" i="5"/>
  <c r="H460" i="5"/>
  <c r="AB465" i="5"/>
  <c r="G469" i="5"/>
  <c r="AB473" i="5"/>
  <c r="F475" i="5"/>
  <c r="E486" i="5"/>
  <c r="X486" i="5" s="1"/>
  <c r="F491" i="5"/>
  <c r="E502" i="5"/>
  <c r="F507" i="5"/>
  <c r="E518" i="5"/>
  <c r="X518" i="5" s="1"/>
  <c r="E534" i="5"/>
  <c r="F539" i="5"/>
  <c r="R546" i="5"/>
  <c r="J546" i="5"/>
  <c r="AB552" i="5"/>
  <c r="V552" i="5"/>
  <c r="E554" i="5"/>
  <c r="AB571" i="5"/>
  <c r="AB581" i="5"/>
  <c r="AB584" i="5"/>
  <c r="V584" i="5"/>
  <c r="AB595" i="5"/>
  <c r="AB596" i="5"/>
  <c r="V596" i="5"/>
  <c r="G596" i="5" s="1"/>
  <c r="H705" i="5"/>
  <c r="R705" i="5"/>
  <c r="J705" i="5"/>
  <c r="I705" i="5"/>
  <c r="F705" i="5"/>
  <c r="E705" i="5"/>
  <c r="X705" i="5" s="1"/>
  <c r="V459" i="5"/>
  <c r="V465" i="5"/>
  <c r="G465" i="5" s="1"/>
  <c r="V473" i="5"/>
  <c r="G473" i="5" s="1"/>
  <c r="V476" i="5"/>
  <c r="AB477" i="5"/>
  <c r="G482" i="5"/>
  <c r="AB482" i="5"/>
  <c r="E483" i="5"/>
  <c r="X483" i="5" s="1"/>
  <c r="I483" i="5"/>
  <c r="V492" i="5"/>
  <c r="G492" i="5" s="1"/>
  <c r="AB493" i="5"/>
  <c r="G498" i="5"/>
  <c r="AB498" i="5"/>
  <c r="E499" i="5"/>
  <c r="X499" i="5" s="1"/>
  <c r="I499" i="5"/>
  <c r="V508" i="5"/>
  <c r="G508" i="5" s="1"/>
  <c r="AB509" i="5"/>
  <c r="F513" i="5"/>
  <c r="G514" i="5"/>
  <c r="AB514" i="5"/>
  <c r="E515" i="5"/>
  <c r="X515" i="5" s="1"/>
  <c r="I515" i="5"/>
  <c r="F518" i="5"/>
  <c r="V524" i="5"/>
  <c r="AB525" i="5"/>
  <c r="F529" i="5"/>
  <c r="G530" i="5"/>
  <c r="AB530" i="5"/>
  <c r="E531" i="5"/>
  <c r="X531" i="5" s="1"/>
  <c r="I531" i="5"/>
  <c r="F534" i="5"/>
  <c r="V540" i="5"/>
  <c r="G540" i="5" s="1"/>
  <c r="AB541" i="5"/>
  <c r="F545" i="5"/>
  <c r="J549" i="5"/>
  <c r="I549" i="5"/>
  <c r="H549" i="5"/>
  <c r="E549" i="5"/>
  <c r="F554" i="5"/>
  <c r="AB557" i="5"/>
  <c r="R558" i="5"/>
  <c r="J558" i="5"/>
  <c r="J565" i="5"/>
  <c r="I565" i="5"/>
  <c r="H565" i="5"/>
  <c r="E565" i="5"/>
  <c r="X565" i="5" s="1"/>
  <c r="AB569" i="5"/>
  <c r="AB572" i="5"/>
  <c r="V572" i="5"/>
  <c r="G572" i="5" s="1"/>
  <c r="J442" i="5"/>
  <c r="J450" i="5"/>
  <c r="J454" i="5"/>
  <c r="J460" i="5"/>
  <c r="V461" i="5"/>
  <c r="G461" i="5" s="1"/>
  <c r="G467" i="5"/>
  <c r="R478" i="5"/>
  <c r="J478" i="5"/>
  <c r="G481" i="5"/>
  <c r="H486" i="5"/>
  <c r="F487" i="5"/>
  <c r="V489" i="5"/>
  <c r="R494" i="5"/>
  <c r="J494" i="5"/>
  <c r="G497" i="5"/>
  <c r="H502" i="5"/>
  <c r="F503" i="5"/>
  <c r="V505" i="5"/>
  <c r="R510" i="5"/>
  <c r="J510" i="5"/>
  <c r="G513" i="5"/>
  <c r="H518" i="5"/>
  <c r="F519" i="5"/>
  <c r="V521" i="5"/>
  <c r="R526" i="5"/>
  <c r="J526" i="5"/>
  <c r="G529" i="5"/>
  <c r="H534" i="5"/>
  <c r="F535" i="5"/>
  <c r="V537" i="5"/>
  <c r="R542" i="5"/>
  <c r="J542" i="5"/>
  <c r="G545" i="5"/>
  <c r="H554" i="5"/>
  <c r="AB579" i="5"/>
  <c r="J585" i="5"/>
  <c r="I585" i="5"/>
  <c r="H585" i="5"/>
  <c r="E585" i="5"/>
  <c r="X585" i="5" s="1"/>
  <c r="G340" i="5"/>
  <c r="G344" i="5"/>
  <c r="G348" i="5"/>
  <c r="G352" i="5"/>
  <c r="G356" i="5"/>
  <c r="G360" i="5"/>
  <c r="G368" i="5"/>
  <c r="G372" i="5"/>
  <c r="G376" i="5"/>
  <c r="G380" i="5"/>
  <c r="G384" i="5"/>
  <c r="G388" i="5"/>
  <c r="G392" i="5"/>
  <c r="G396" i="5"/>
  <c r="G400" i="5"/>
  <c r="G404" i="5"/>
  <c r="G408" i="5"/>
  <c r="G412" i="5"/>
  <c r="G416" i="5"/>
  <c r="G420" i="5"/>
  <c r="G424" i="5"/>
  <c r="G428" i="5"/>
  <c r="G432" i="5"/>
  <c r="G436" i="5"/>
  <c r="G440" i="5"/>
  <c r="R442" i="5"/>
  <c r="G444" i="5"/>
  <c r="G448" i="5"/>
  <c r="R450" i="5"/>
  <c r="G452" i="5"/>
  <c r="R454" i="5"/>
  <c r="G456" i="5"/>
  <c r="H467" i="5"/>
  <c r="V468" i="5"/>
  <c r="G468" i="5" s="1"/>
  <c r="G478" i="5"/>
  <c r="AB478" i="5"/>
  <c r="E479" i="5"/>
  <c r="X479" i="5" s="1"/>
  <c r="I479" i="5"/>
  <c r="J481" i="5"/>
  <c r="AB483" i="5"/>
  <c r="G487" i="5"/>
  <c r="V488" i="5"/>
  <c r="G488" i="5" s="1"/>
  <c r="AB489" i="5"/>
  <c r="G494" i="5"/>
  <c r="AB494" i="5"/>
  <c r="J497" i="5"/>
  <c r="AB499" i="5"/>
  <c r="G503" i="5"/>
  <c r="V504" i="5"/>
  <c r="G504" i="5" s="1"/>
  <c r="AB505" i="5"/>
  <c r="G510" i="5"/>
  <c r="AB510" i="5"/>
  <c r="E511" i="5"/>
  <c r="X511" i="5" s="1"/>
  <c r="I511" i="5"/>
  <c r="J513" i="5"/>
  <c r="AB515" i="5"/>
  <c r="G519" i="5"/>
  <c r="V520" i="5"/>
  <c r="G520" i="5" s="1"/>
  <c r="AB521" i="5"/>
  <c r="G526" i="5"/>
  <c r="AB526" i="5"/>
  <c r="E527" i="5"/>
  <c r="X527" i="5" s="1"/>
  <c r="I527" i="5"/>
  <c r="J529" i="5"/>
  <c r="AB531" i="5"/>
  <c r="G535" i="5"/>
  <c r="V536" i="5"/>
  <c r="G536" i="5" s="1"/>
  <c r="AB537" i="5"/>
  <c r="G542" i="5"/>
  <c r="AB542" i="5"/>
  <c r="E543" i="5"/>
  <c r="X543" i="5" s="1"/>
  <c r="I543" i="5"/>
  <c r="J545" i="5"/>
  <c r="F546" i="5"/>
  <c r="AB547" i="5"/>
  <c r="AB549" i="5"/>
  <c r="R550" i="5"/>
  <c r="J550" i="5"/>
  <c r="AB556" i="5"/>
  <c r="V556" i="5"/>
  <c r="G556" i="5" s="1"/>
  <c r="F557" i="5"/>
  <c r="E558" i="5"/>
  <c r="AB567" i="5"/>
  <c r="F569" i="5"/>
  <c r="AB577" i="5"/>
  <c r="AB580" i="5"/>
  <c r="V580" i="5"/>
  <c r="G580" i="5" s="1"/>
  <c r="H681" i="5"/>
  <c r="R681" i="5"/>
  <c r="J681" i="5"/>
  <c r="I681" i="5"/>
  <c r="F681" i="5"/>
  <c r="E681" i="5"/>
  <c r="X681" i="5" s="1"/>
  <c r="V466" i="5"/>
  <c r="I467" i="5"/>
  <c r="V474" i="5"/>
  <c r="F483" i="5"/>
  <c r="V485" i="5"/>
  <c r="G485" i="5" s="1"/>
  <c r="H487" i="5"/>
  <c r="R490" i="5"/>
  <c r="J490" i="5"/>
  <c r="F499" i="5"/>
  <c r="V501" i="5"/>
  <c r="H503" i="5"/>
  <c r="R506" i="5"/>
  <c r="J506" i="5"/>
  <c r="F515" i="5"/>
  <c r="V517" i="5"/>
  <c r="H519" i="5"/>
  <c r="R522" i="5"/>
  <c r="J522" i="5"/>
  <c r="F531" i="5"/>
  <c r="V533" i="5"/>
  <c r="G533" i="5" s="1"/>
  <c r="H535" i="5"/>
  <c r="R538" i="5"/>
  <c r="J538" i="5"/>
  <c r="V553" i="5"/>
  <c r="G553" i="5" s="1"/>
  <c r="G557" i="5"/>
  <c r="F558" i="5"/>
  <c r="AB561" i="5"/>
  <c r="R562" i="5"/>
  <c r="J562" i="5"/>
  <c r="AB565" i="5"/>
  <c r="AB568" i="5"/>
  <c r="V568" i="5"/>
  <c r="G568" i="5" s="1"/>
  <c r="G569"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J467" i="5"/>
  <c r="AB474" i="5"/>
  <c r="E475" i="5"/>
  <c r="X475" i="5" s="1"/>
  <c r="I475" i="5"/>
  <c r="F478" i="5"/>
  <c r="AB479" i="5"/>
  <c r="G483" i="5"/>
  <c r="V484" i="5"/>
  <c r="AB485" i="5"/>
  <c r="G490" i="5"/>
  <c r="AB490" i="5"/>
  <c r="E491" i="5"/>
  <c r="X491" i="5" s="1"/>
  <c r="I491" i="5"/>
  <c r="F494" i="5"/>
  <c r="AB495" i="5"/>
  <c r="G499" i="5"/>
  <c r="V500" i="5"/>
  <c r="G500" i="5" s="1"/>
  <c r="AB501" i="5"/>
  <c r="G506" i="5"/>
  <c r="AB506" i="5"/>
  <c r="E507" i="5"/>
  <c r="X507" i="5" s="1"/>
  <c r="I507" i="5"/>
  <c r="F510" i="5"/>
  <c r="AB511" i="5"/>
  <c r="G515" i="5"/>
  <c r="V516" i="5"/>
  <c r="AB517" i="5"/>
  <c r="G522" i="5"/>
  <c r="AB522" i="5"/>
  <c r="F526" i="5"/>
  <c r="AB527" i="5"/>
  <c r="G531" i="5"/>
  <c r="V532" i="5"/>
  <c r="G532" i="5" s="1"/>
  <c r="AB533" i="5"/>
  <c r="G538" i="5"/>
  <c r="AB538" i="5"/>
  <c r="E539" i="5"/>
  <c r="X539" i="5" s="1"/>
  <c r="I539" i="5"/>
  <c r="F542" i="5"/>
  <c r="AB543" i="5"/>
  <c r="AB548" i="5"/>
  <c r="V548" i="5"/>
  <c r="G548" i="5" s="1"/>
  <c r="F549" i="5"/>
  <c r="H558" i="5"/>
  <c r="AB575" i="5"/>
  <c r="J581" i="5"/>
  <c r="I581" i="5"/>
  <c r="H581" i="5"/>
  <c r="E581" i="5"/>
  <c r="X581" i="5" s="1"/>
  <c r="AB585" i="5"/>
  <c r="AB588" i="5"/>
  <c r="V588" i="5"/>
  <c r="H689" i="5"/>
  <c r="R689" i="5"/>
  <c r="J689" i="5"/>
  <c r="I689" i="5"/>
  <c r="F689" i="5"/>
  <c r="E689" i="5"/>
  <c r="X689" i="5" s="1"/>
  <c r="R467" i="5"/>
  <c r="I481" i="5"/>
  <c r="H481" i="5"/>
  <c r="E481" i="5"/>
  <c r="H483" i="5"/>
  <c r="R486" i="5"/>
  <c r="J486" i="5"/>
  <c r="I497" i="5"/>
  <c r="H497" i="5"/>
  <c r="E497" i="5"/>
  <c r="H499" i="5"/>
  <c r="R502" i="5"/>
  <c r="J502" i="5"/>
  <c r="I513" i="5"/>
  <c r="H513" i="5"/>
  <c r="E513" i="5"/>
  <c r="R518" i="5"/>
  <c r="J518" i="5"/>
  <c r="I529" i="5"/>
  <c r="H529" i="5"/>
  <c r="E529" i="5"/>
  <c r="R534" i="5"/>
  <c r="J534" i="5"/>
  <c r="I545" i="5"/>
  <c r="H545" i="5"/>
  <c r="E545" i="5"/>
  <c r="AB553" i="5"/>
  <c r="R554" i="5"/>
  <c r="J554" i="5"/>
  <c r="AB560" i="5"/>
  <c r="V560" i="5"/>
  <c r="G560" i="5" s="1"/>
  <c r="T563" i="5"/>
  <c r="S563" i="5"/>
  <c r="AB563" i="5"/>
  <c r="J569" i="5"/>
  <c r="I569" i="5"/>
  <c r="H569" i="5"/>
  <c r="E569" i="5"/>
  <c r="X569" i="5" s="1"/>
  <c r="AB573" i="5"/>
  <c r="AB576" i="5"/>
  <c r="V576" i="5"/>
  <c r="G576" i="5" s="1"/>
  <c r="R589" i="5"/>
  <c r="J589" i="5"/>
  <c r="I589" i="5"/>
  <c r="H589" i="5"/>
  <c r="E589" i="5"/>
  <c r="X589" i="5" s="1"/>
  <c r="H697" i="5"/>
  <c r="R697" i="5"/>
  <c r="J697" i="5"/>
  <c r="I697" i="5"/>
  <c r="F697" i="5"/>
  <c r="E697" i="5"/>
  <c r="X697" i="5" s="1"/>
  <c r="V464" i="5"/>
  <c r="G464" i="5" s="1"/>
  <c r="AB464" i="5"/>
  <c r="V472" i="5"/>
  <c r="AB475" i="5"/>
  <c r="V480" i="5"/>
  <c r="G480" i="5" s="1"/>
  <c r="AB481" i="5"/>
  <c r="J483" i="5"/>
  <c r="G486" i="5"/>
  <c r="AB486" i="5"/>
  <c r="E487" i="5"/>
  <c r="I487" i="5"/>
  <c r="AB491" i="5"/>
  <c r="V496" i="5"/>
  <c r="G496" i="5" s="1"/>
  <c r="AB497" i="5"/>
  <c r="J499" i="5"/>
  <c r="G502" i="5"/>
  <c r="AB502" i="5"/>
  <c r="E503" i="5"/>
  <c r="I503" i="5"/>
  <c r="AB507" i="5"/>
  <c r="V512" i="5"/>
  <c r="G512" i="5" s="1"/>
  <c r="AB513" i="5"/>
  <c r="J515" i="5"/>
  <c r="G518" i="5"/>
  <c r="AB518" i="5"/>
  <c r="E519" i="5"/>
  <c r="I519" i="5"/>
  <c r="AB523" i="5"/>
  <c r="V528" i="5"/>
  <c r="G528" i="5" s="1"/>
  <c r="AB529" i="5"/>
  <c r="J531" i="5"/>
  <c r="T531" i="5" s="1"/>
  <c r="G534" i="5"/>
  <c r="AB534" i="5"/>
  <c r="E535" i="5"/>
  <c r="X535" i="5" s="1"/>
  <c r="I535" i="5"/>
  <c r="AB539" i="5"/>
  <c r="V544" i="5"/>
  <c r="AB545" i="5"/>
  <c r="J557" i="5"/>
  <c r="I557" i="5"/>
  <c r="H557" i="5"/>
  <c r="E557" i="5"/>
  <c r="AB564" i="5"/>
  <c r="V564" i="5"/>
  <c r="AB583"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V578" i="5"/>
  <c r="V582" i="5"/>
  <c r="H583" i="5"/>
  <c r="V586" i="5"/>
  <c r="G586" i="5" s="1"/>
  <c r="V590" i="5"/>
  <c r="G590" i="5" s="1"/>
  <c r="V594" i="5"/>
  <c r="V598" i="5"/>
  <c r="G598" i="5" s="1"/>
  <c r="AB599" i="5"/>
  <c r="V602" i="5"/>
  <c r="G602" i="5" s="1"/>
  <c r="H603" i="5"/>
  <c r="AB603" i="5"/>
  <c r="V606" i="5"/>
  <c r="G606" i="5" s="1"/>
  <c r="AB607" i="5"/>
  <c r="V610" i="5"/>
  <c r="G610" i="5" s="1"/>
  <c r="H611" i="5"/>
  <c r="AB611" i="5"/>
  <c r="S613" i="5"/>
  <c r="V614" i="5"/>
  <c r="G614" i="5" s="1"/>
  <c r="H615" i="5"/>
  <c r="AB615" i="5"/>
  <c r="S617" i="5"/>
  <c r="V618" i="5"/>
  <c r="G618" i="5" s="1"/>
  <c r="H619" i="5"/>
  <c r="AB619" i="5"/>
  <c r="S621" i="5"/>
  <c r="V622" i="5"/>
  <c r="G622" i="5" s="1"/>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83" i="5"/>
  <c r="E597" i="5"/>
  <c r="X597" i="5" s="1"/>
  <c r="I599" i="5"/>
  <c r="I603" i="5"/>
  <c r="E605" i="5"/>
  <c r="X605" i="5" s="1"/>
  <c r="E609" i="5"/>
  <c r="X609" i="5" s="1"/>
  <c r="I611" i="5"/>
  <c r="E613" i="5"/>
  <c r="X613" i="5" s="1"/>
  <c r="T613" i="5"/>
  <c r="I615" i="5"/>
  <c r="E617" i="5"/>
  <c r="X617" i="5" s="1"/>
  <c r="T617" i="5"/>
  <c r="I619" i="5"/>
  <c r="E621" i="5"/>
  <c r="X621" i="5" s="1"/>
  <c r="T621" i="5"/>
  <c r="I623" i="5"/>
  <c r="E625" i="5"/>
  <c r="X625" i="5" s="1"/>
  <c r="T625" i="5"/>
  <c r="I627" i="5"/>
  <c r="E629" i="5"/>
  <c r="X629" i="5" s="1"/>
  <c r="T629" i="5"/>
  <c r="T633" i="5"/>
  <c r="I635" i="5"/>
  <c r="E637" i="5"/>
  <c r="X637" i="5" s="1"/>
  <c r="T637" i="5"/>
  <c r="E641" i="5"/>
  <c r="X641" i="5" s="1"/>
  <c r="T641" i="5"/>
  <c r="E645" i="5"/>
  <c r="X645" i="5" s="1"/>
  <c r="T645" i="5"/>
  <c r="T649" i="5"/>
  <c r="I651" i="5"/>
  <c r="T653" i="5"/>
  <c r="I655" i="5"/>
  <c r="T657" i="5"/>
  <c r="I659" i="5"/>
  <c r="T661" i="5"/>
  <c r="T665" i="5"/>
  <c r="T669" i="5"/>
  <c r="T673" i="5"/>
  <c r="AB680" i="5"/>
  <c r="S682" i="5"/>
  <c r="AB685" i="5"/>
  <c r="G685" i="5"/>
  <c r="J687" i="5"/>
  <c r="J688" i="5"/>
  <c r="F690" i="5"/>
  <c r="S692" i="5"/>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S664" i="5"/>
  <c r="J667" i="5"/>
  <c r="S668" i="5"/>
  <c r="S672" i="5"/>
  <c r="J675" i="5"/>
  <c r="S676" i="5"/>
  <c r="F680" i="5"/>
  <c r="E680" i="5"/>
  <c r="X680" i="5" s="1"/>
  <c r="I680" i="5"/>
  <c r="J682" i="5"/>
  <c r="I682" i="5"/>
  <c r="E682" i="5"/>
  <c r="X682" i="5" s="1"/>
  <c r="AB686" i="5"/>
  <c r="G690"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AB746" i="5"/>
  <c r="R747" i="5"/>
  <c r="H747" i="5"/>
  <c r="H768" i="5"/>
  <c r="F768" i="5"/>
  <c r="E768" i="5"/>
  <c r="X768" i="5" s="1"/>
  <c r="J768" i="5"/>
  <c r="I768" i="5"/>
  <c r="H784" i="5"/>
  <c r="F784" i="5"/>
  <c r="E784" i="5"/>
  <c r="X784" i="5" s="1"/>
  <c r="J784" i="5"/>
  <c r="I784" i="5"/>
  <c r="J790" i="5"/>
  <c r="I790" i="5"/>
  <c r="H790" i="5"/>
  <c r="F790" i="5"/>
  <c r="E790" i="5"/>
  <c r="X790" i="5" s="1"/>
  <c r="AB681" i="5"/>
  <c r="G681" i="5"/>
  <c r="AB692"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V600" i="5"/>
  <c r="G600" i="5" s="1"/>
  <c r="S603" i="5"/>
  <c r="V604" i="5"/>
  <c r="H605"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S651" i="5"/>
  <c r="V652" i="5"/>
  <c r="H653" i="5"/>
  <c r="S655" i="5"/>
  <c r="V656" i="5"/>
  <c r="H657" i="5"/>
  <c r="S659" i="5"/>
  <c r="V660" i="5"/>
  <c r="G660" i="5" s="1"/>
  <c r="S663" i="5"/>
  <c r="V664" i="5"/>
  <c r="G664" i="5" s="1"/>
  <c r="H665" i="5"/>
  <c r="S667" i="5"/>
  <c r="V668" i="5"/>
  <c r="G668" i="5" s="1"/>
  <c r="S671" i="5"/>
  <c r="V672" i="5"/>
  <c r="G672" i="5" s="1"/>
  <c r="H673" i="5"/>
  <c r="S675" i="5"/>
  <c r="V676" i="5"/>
  <c r="G676" i="5" s="1"/>
  <c r="H680" i="5"/>
  <c r="AB682" i="5"/>
  <c r="F691" i="5"/>
  <c r="F692" i="5"/>
  <c r="E692" i="5"/>
  <c r="X692" i="5" s="1"/>
  <c r="I692" i="5"/>
  <c r="H693" i="5"/>
  <c r="R693" i="5"/>
  <c r="V694" i="5"/>
  <c r="G694" i="5" s="1"/>
  <c r="H696" i="5"/>
  <c r="AB698" i="5"/>
  <c r="S706" i="5"/>
  <c r="R708" i="5"/>
  <c r="H710" i="5"/>
  <c r="G712" i="5"/>
  <c r="E713" i="5"/>
  <c r="X713" i="5" s="1"/>
  <c r="J714" i="5"/>
  <c r="I714" i="5"/>
  <c r="F714" i="5"/>
  <c r="E714" i="5"/>
  <c r="X714" i="5" s="1"/>
  <c r="AB718"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5" i="5"/>
  <c r="I609" i="5"/>
  <c r="I613" i="5"/>
  <c r="I617" i="5"/>
  <c r="I621" i="5"/>
  <c r="I625" i="5"/>
  <c r="I629" i="5"/>
  <c r="I637" i="5"/>
  <c r="I641" i="5"/>
  <c r="I645" i="5"/>
  <c r="J680" i="5"/>
  <c r="F682" i="5"/>
  <c r="S684" i="5"/>
  <c r="E687" i="5"/>
  <c r="X687" i="5" s="1"/>
  <c r="AB688" i="5"/>
  <c r="S690" i="5"/>
  <c r="H691" i="5"/>
  <c r="G692" i="5"/>
  <c r="AB693" i="5"/>
  <c r="G693" i="5"/>
  <c r="J696" i="5"/>
  <c r="F698" i="5"/>
  <c r="S700" i="5"/>
  <c r="E703" i="5"/>
  <c r="X703" i="5" s="1"/>
  <c r="AB704" i="5"/>
  <c r="S708" i="5"/>
  <c r="R710" i="5"/>
  <c r="H712" i="5"/>
  <c r="F713" i="5"/>
  <c r="G714" i="5"/>
  <c r="E715" i="5"/>
  <c r="X715" i="5" s="1"/>
  <c r="AB720" i="5"/>
  <c r="S724" i="5"/>
  <c r="J725" i="5"/>
  <c r="R726" i="5"/>
  <c r="I727" i="5"/>
  <c r="H728" i="5"/>
  <c r="F729" i="5"/>
  <c r="G730" i="5"/>
  <c r="E731" i="5"/>
  <c r="X731" i="5" s="1"/>
  <c r="F732" i="5"/>
  <c r="E732" i="5"/>
  <c r="X732" i="5" s="1"/>
  <c r="J732" i="5"/>
  <c r="I732" i="5"/>
  <c r="AB736" i="5"/>
  <c r="S740" i="5"/>
  <c r="J741" i="5"/>
  <c r="R742" i="5"/>
  <c r="I743" i="5"/>
  <c r="H744" i="5"/>
  <c r="G746" i="5"/>
  <c r="E747" i="5"/>
  <c r="X747" i="5" s="1"/>
  <c r="AB750" i="5"/>
  <c r="T750" i="5"/>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T597" i="5" s="1"/>
  <c r="J605" i="5"/>
  <c r="T605" i="5" s="1"/>
  <c r="J609" i="5"/>
  <c r="T609" i="5" s="1"/>
  <c r="J613" i="5"/>
  <c r="J617" i="5"/>
  <c r="J621" i="5"/>
  <c r="J625" i="5"/>
  <c r="J629"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H776" i="5"/>
  <c r="F776" i="5"/>
  <c r="E776" i="5"/>
  <c r="X776" i="5" s="1"/>
  <c r="J776" i="5"/>
  <c r="I776" i="5"/>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87" i="5"/>
  <c r="G691" i="5"/>
  <c r="G699" i="5"/>
  <c r="G703" i="5"/>
  <c r="G707" i="5"/>
  <c r="G715" i="5"/>
  <c r="G723" i="5"/>
  <c r="G727" i="5"/>
  <c r="G731" i="5"/>
  <c r="G735" i="5"/>
  <c r="G739" i="5"/>
  <c r="G743" i="5"/>
  <c r="G747" i="5"/>
  <c r="G755" i="5"/>
  <c r="R757" i="5"/>
  <c r="G759" i="5"/>
  <c r="G763"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AB829" i="5"/>
  <c r="G830" i="5"/>
  <c r="V832" i="5"/>
  <c r="G832" i="5" s="1"/>
  <c r="V840" i="5"/>
  <c r="G840" i="5" s="1"/>
  <c r="V848" i="5"/>
  <c r="G848" i="5" s="1"/>
  <c r="H855" i="5"/>
  <c r="G859" i="5"/>
  <c r="AB859" i="5"/>
  <c r="AB860" i="5"/>
  <c r="G863" i="5"/>
  <c r="AB863" i="5"/>
  <c r="F872" i="5"/>
  <c r="S876"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R842" i="5"/>
  <c r="J842" i="5"/>
  <c r="I842" i="5"/>
  <c r="E842" i="5"/>
  <c r="X842" i="5" s="1"/>
  <c r="E843" i="5"/>
  <c r="X843" i="5" s="1"/>
  <c r="R843" i="5"/>
  <c r="I843" i="5"/>
  <c r="G843" i="5"/>
  <c r="J850" i="5"/>
  <c r="E850" i="5"/>
  <c r="X850" i="5" s="1"/>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57"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V838" i="5"/>
  <c r="G838" i="5" s="1"/>
  <c r="E839" i="5"/>
  <c r="X839" i="5" s="1"/>
  <c r="R839" i="5"/>
  <c r="I839" i="5"/>
  <c r="G839" i="5"/>
  <c r="G842" i="5"/>
  <c r="F843" i="5"/>
  <c r="V846" i="5"/>
  <c r="G846" i="5" s="1"/>
  <c r="E847" i="5"/>
  <c r="X847" i="5" s="1"/>
  <c r="R847" i="5"/>
  <c r="I847" i="5"/>
  <c r="G847"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AB1187" i="5"/>
  <c r="V1187" i="5"/>
  <c r="G1187" i="5" s="1"/>
  <c r="J1211" i="5"/>
  <c r="I1211" i="5"/>
  <c r="R1211" i="5"/>
  <c r="H1211" i="5"/>
  <c r="E1211" i="5"/>
  <c r="X1211" i="5" s="1"/>
  <c r="F1211" i="5"/>
  <c r="V1265" i="5"/>
  <c r="AB1265" i="5"/>
  <c r="G855" i="5"/>
  <c r="AB856" i="5"/>
  <c r="G861" i="5"/>
  <c r="AB861" i="5"/>
  <c r="J864"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V943" i="5"/>
  <c r="G943" i="5" s="1"/>
  <c r="G944" i="5"/>
  <c r="E947" i="5"/>
  <c r="X947" i="5" s="1"/>
  <c r="R947" i="5"/>
  <c r="AB956" i="5"/>
  <c r="T956" i="5"/>
  <c r="S964" i="5"/>
  <c r="R965" i="5"/>
  <c r="J965" i="5"/>
  <c r="I965" i="5"/>
  <c r="F965" i="5"/>
  <c r="I968" i="5"/>
  <c r="H968" i="5"/>
  <c r="E968" i="5"/>
  <c r="X968" i="5" s="1"/>
  <c r="I972" i="5"/>
  <c r="H972" i="5"/>
  <c r="E972" i="5"/>
  <c r="X972" i="5" s="1"/>
  <c r="R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G1092" i="5"/>
  <c r="F1093" i="5"/>
  <c r="R1101" i="5"/>
  <c r="J1101" i="5"/>
  <c r="I1101" i="5"/>
  <c r="G1108"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V1310" i="5"/>
  <c r="R1311" i="5"/>
  <c r="J1311" i="5"/>
  <c r="I1311" i="5"/>
  <c r="G1311" i="5"/>
  <c r="F1311" i="5"/>
  <c r="E1311" i="5"/>
  <c r="X1311" i="5" s="1"/>
  <c r="V1314" i="5"/>
  <c r="G1314" i="5" s="1"/>
  <c r="R1315" i="5"/>
  <c r="J1315" i="5"/>
  <c r="I1315" i="5"/>
  <c r="G1315" i="5"/>
  <c r="F1315" i="5"/>
  <c r="E1315" i="5"/>
  <c r="X1315" i="5" s="1"/>
  <c r="V1318" i="5"/>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5" i="5"/>
  <c r="G989" i="5"/>
  <c r="I990" i="5"/>
  <c r="G993" i="5"/>
  <c r="I994" i="5"/>
  <c r="G997" i="5"/>
  <c r="I998" i="5"/>
  <c r="G1001" i="5"/>
  <c r="G1005" i="5"/>
  <c r="G1009" i="5"/>
  <c r="I1010" i="5"/>
  <c r="G1013" i="5"/>
  <c r="G1017" i="5"/>
  <c r="I1018" i="5"/>
  <c r="G1021" i="5"/>
  <c r="I1022" i="5"/>
  <c r="G1025" i="5"/>
  <c r="I1026" i="5"/>
  <c r="G1029" i="5"/>
  <c r="I1030" i="5"/>
  <c r="G1033" i="5"/>
  <c r="G1037" i="5"/>
  <c r="G1041" i="5"/>
  <c r="I1042" i="5"/>
  <c r="G1045" i="5"/>
  <c r="I1046" i="5"/>
  <c r="G1049" i="5"/>
  <c r="G1053" i="5"/>
  <c r="G1057" i="5"/>
  <c r="I1058" i="5"/>
  <c r="G1061" i="5"/>
  <c r="I1062" i="5"/>
  <c r="G1065" i="5"/>
  <c r="G1069" i="5"/>
  <c r="I1070" i="5"/>
  <c r="I1074" i="5"/>
  <c r="G1077" i="5"/>
  <c r="I1078" i="5"/>
  <c r="G1081" i="5"/>
  <c r="I1082" i="5"/>
  <c r="I1086" i="5"/>
  <c r="G1089" i="5"/>
  <c r="I1090" i="5"/>
  <c r="G1093" i="5"/>
  <c r="G1097" i="5"/>
  <c r="I1098" i="5"/>
  <c r="G1101" i="5"/>
  <c r="I1102" i="5"/>
  <c r="G1105" i="5"/>
  <c r="I1110" i="5"/>
  <c r="G1113" i="5"/>
  <c r="G1117" i="5"/>
  <c r="I1118" i="5"/>
  <c r="G1121" i="5"/>
  <c r="G1125" i="5"/>
  <c r="I1126" i="5"/>
  <c r="G1129"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V1206" i="5"/>
  <c r="G1206" i="5" s="1"/>
  <c r="F1213" i="5"/>
  <c r="E1213" i="5"/>
  <c r="X1213" i="5" s="1"/>
  <c r="I1217" i="5"/>
  <c r="AB1223" i="5"/>
  <c r="J1224" i="5"/>
  <c r="AB1226" i="5"/>
  <c r="T1226" i="5"/>
  <c r="G1235" i="5"/>
  <c r="V1238" i="5"/>
  <c r="G1238" i="5" s="1"/>
  <c r="F1240" i="5"/>
  <c r="F1245" i="5"/>
  <c r="E1245" i="5"/>
  <c r="X1245" i="5" s="1"/>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V1133" i="5"/>
  <c r="G1142" i="5"/>
  <c r="V1149" i="5"/>
  <c r="G1149" i="5" s="1"/>
  <c r="S1158" i="5"/>
  <c r="G1164" i="5"/>
  <c r="S1165" i="5"/>
  <c r="J1168" i="5"/>
  <c r="AB1170" i="5"/>
  <c r="T1170" i="5"/>
  <c r="H1181" i="5"/>
  <c r="V1182" i="5"/>
  <c r="G1182" i="5" s="1"/>
  <c r="S1183" i="5"/>
  <c r="S1190" i="5"/>
  <c r="G1196" i="5"/>
  <c r="S1197" i="5"/>
  <c r="J1200" i="5"/>
  <c r="AB1202" i="5"/>
  <c r="T1202" i="5"/>
  <c r="H1213" i="5"/>
  <c r="V1214" i="5"/>
  <c r="S1215" i="5"/>
  <c r="S1222" i="5"/>
  <c r="G1228" i="5"/>
  <c r="S1229"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2" i="5"/>
  <c r="E1356" i="5"/>
  <c r="X1356" i="5" s="1"/>
  <c r="I1356" i="5"/>
  <c r="H1356" i="5"/>
  <c r="G1356" i="5"/>
  <c r="F1356" i="5"/>
  <c r="I1366" i="5"/>
  <c r="H1366" i="5"/>
  <c r="E1366" i="5"/>
  <c r="X1366" i="5" s="1"/>
  <c r="R1366" i="5"/>
  <c r="J1366" i="5"/>
  <c r="G1371" i="5"/>
  <c r="G1382"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V1158" i="5"/>
  <c r="G1158" i="5" s="1"/>
  <c r="S1159" i="5"/>
  <c r="F1160" i="5"/>
  <c r="I1164" i="5"/>
  <c r="F1165" i="5"/>
  <c r="E1165" i="5"/>
  <c r="X1165" i="5" s="1"/>
  <c r="AB1165" i="5"/>
  <c r="G1172" i="5"/>
  <c r="S1173" i="5"/>
  <c r="G1177" i="5"/>
  <c r="AB1178" i="5"/>
  <c r="T1178" i="5"/>
  <c r="J1181" i="5"/>
  <c r="H1189" i="5"/>
  <c r="V1190" i="5"/>
  <c r="S1191" i="5"/>
  <c r="I1196" i="5"/>
  <c r="F1197" i="5"/>
  <c r="AB1197" i="5"/>
  <c r="G1204" i="5"/>
  <c r="S1205" i="5"/>
  <c r="G1209" i="5"/>
  <c r="AB1210" i="5"/>
  <c r="T1210" i="5"/>
  <c r="J1213"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92" i="5"/>
  <c r="X1292" i="5" s="1"/>
  <c r="R1292" i="5"/>
  <c r="E1300" i="5"/>
  <c r="X1300" i="5" s="1"/>
  <c r="R1300" i="5"/>
  <c r="E1304" i="5"/>
  <c r="X1304" i="5" s="1"/>
  <c r="R1304" i="5"/>
  <c r="E1308" i="5"/>
  <c r="X1308" i="5" s="1"/>
  <c r="R1308" i="5"/>
  <c r="E1320" i="5"/>
  <c r="X1320" i="5" s="1"/>
  <c r="R1320"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G1671" i="5"/>
  <c r="AB1697" i="5"/>
  <c r="T1697" i="5"/>
  <c r="S1697" i="5"/>
  <c r="V2454" i="5"/>
  <c r="G2454" i="5" s="1"/>
  <c r="T2469" i="5"/>
  <c r="AB2469" i="5"/>
  <c r="S2469" i="5"/>
  <c r="V1404" i="5"/>
  <c r="J1405" i="5"/>
  <c r="V1412" i="5"/>
  <c r="G1412" i="5" s="1"/>
  <c r="J1413" i="5"/>
  <c r="V1420" i="5"/>
  <c r="J1421" i="5"/>
  <c r="E1422" i="5"/>
  <c r="X1422" i="5" s="1"/>
  <c r="AB1422" i="5"/>
  <c r="V1428" i="5"/>
  <c r="G1428" i="5" s="1"/>
  <c r="J1429" i="5"/>
  <c r="E1430" i="5"/>
  <c r="X1430" i="5" s="1"/>
  <c r="AB1430" i="5"/>
  <c r="V1436"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G1510" i="5"/>
  <c r="F1510" i="5"/>
  <c r="R1510" i="5"/>
  <c r="AB1511" i="5"/>
  <c r="T1511" i="5"/>
  <c r="G1512" i="5"/>
  <c r="AB1516" i="5"/>
  <c r="T1517" i="5"/>
  <c r="S1517" i="5"/>
  <c r="AB1517"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10" i="5"/>
  <c r="R1410" i="5"/>
  <c r="F1418" i="5"/>
  <c r="R1418" i="5"/>
  <c r="I1422" i="5"/>
  <c r="F1426" i="5"/>
  <c r="R1426" i="5"/>
  <c r="I1430"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G1400" i="5" s="1"/>
  <c r="AB1402" i="5"/>
  <c r="E1405" i="5"/>
  <c r="X1405" i="5" s="1"/>
  <c r="V1408" i="5"/>
  <c r="E1410" i="5"/>
  <c r="X1410" i="5" s="1"/>
  <c r="AB1410" i="5"/>
  <c r="E1413" i="5"/>
  <c r="X1413" i="5" s="1"/>
  <c r="V1416" i="5"/>
  <c r="E1418" i="5"/>
  <c r="X1418" i="5" s="1"/>
  <c r="AB1418" i="5"/>
  <c r="E1421" i="5"/>
  <c r="X1421" i="5" s="1"/>
  <c r="J1422" i="5"/>
  <c r="V1424" i="5"/>
  <c r="G1424" i="5" s="1"/>
  <c r="E1426" i="5"/>
  <c r="X1426" i="5" s="1"/>
  <c r="AB1426" i="5"/>
  <c r="E1429" i="5"/>
  <c r="X1429" i="5" s="1"/>
  <c r="J1430" i="5"/>
  <c r="V1432" i="5"/>
  <c r="G1432" i="5" s="1"/>
  <c r="E1434" i="5"/>
  <c r="X1434" i="5" s="1"/>
  <c r="AB1434" i="5"/>
  <c r="J1438" i="5"/>
  <c r="R1447" i="5"/>
  <c r="R1448" i="5"/>
  <c r="G1449" i="5"/>
  <c r="F1450" i="5"/>
  <c r="R1450" i="5"/>
  <c r="H1453" i="5"/>
  <c r="E1454" i="5"/>
  <c r="X1454" i="5" s="1"/>
  <c r="AB1459" i="5"/>
  <c r="T1459" i="5"/>
  <c r="AB1460" i="5"/>
  <c r="G1464" i="5"/>
  <c r="J1465" i="5"/>
  <c r="I1465" i="5"/>
  <c r="I1466" i="5"/>
  <c r="G1467" i="5"/>
  <c r="R1479" i="5"/>
  <c r="G1487" i="5"/>
  <c r="G1489" i="5"/>
  <c r="E1490" i="5"/>
  <c r="X1490" i="5" s="1"/>
  <c r="I1491" i="5"/>
  <c r="H1491" i="5"/>
  <c r="F1491" i="5"/>
  <c r="E1491" i="5"/>
  <c r="X1491" i="5" s="1"/>
  <c r="G1494" i="5"/>
  <c r="F1494" i="5"/>
  <c r="R1494" i="5"/>
  <c r="AB1495" i="5"/>
  <c r="T1495" i="5"/>
  <c r="G1496" i="5"/>
  <c r="AB1500" i="5"/>
  <c r="T1501" i="5"/>
  <c r="S1501" i="5"/>
  <c r="AB1501" i="5"/>
  <c r="S1507" i="5"/>
  <c r="J1510" i="5"/>
  <c r="G1519" i="5"/>
  <c r="G1521" i="5"/>
  <c r="E1522" i="5"/>
  <c r="X1522" i="5" s="1"/>
  <c r="I1523" i="5"/>
  <c r="H1523" i="5"/>
  <c r="F1523" i="5"/>
  <c r="E1523" i="5"/>
  <c r="X1523" i="5" s="1"/>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AB1618" i="5"/>
  <c r="AB1622" i="5"/>
  <c r="AB1637" i="5"/>
  <c r="T1637" i="5"/>
  <c r="S1637" i="5"/>
  <c r="V1650" i="5"/>
  <c r="AB1654" i="5"/>
  <c r="AB1669" i="5"/>
  <c r="T1669" i="5"/>
  <c r="S1669" i="5"/>
  <c r="E1675" i="5"/>
  <c r="X1675" i="5" s="1"/>
  <c r="R1675" i="5"/>
  <c r="J1675" i="5"/>
  <c r="I1675" i="5"/>
  <c r="H1675" i="5"/>
  <c r="V1682" i="5"/>
  <c r="G1682" i="5" s="1"/>
  <c r="AB1686" i="5"/>
  <c r="AB1701" i="5"/>
  <c r="T1701" i="5"/>
  <c r="S1701"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80" i="5"/>
  <c r="F1584" i="5"/>
  <c r="F1588" i="5"/>
  <c r="F1592" i="5"/>
  <c r="F1596" i="5"/>
  <c r="F1600" i="5"/>
  <c r="F1604" i="5"/>
  <c r="F1612" i="5"/>
  <c r="F1616" i="5"/>
  <c r="F1620" i="5"/>
  <c r="S1626" i="5"/>
  <c r="AB1630" i="5"/>
  <c r="F1635" i="5"/>
  <c r="AB1645" i="5"/>
  <c r="T1645" i="5"/>
  <c r="S1645" i="5"/>
  <c r="V1658" i="5"/>
  <c r="AB1662" i="5"/>
  <c r="AB1677" i="5"/>
  <c r="T1677" i="5"/>
  <c r="S1677" i="5"/>
  <c r="V1690" i="5"/>
  <c r="G1690" i="5" s="1"/>
  <c r="AB1694" i="5"/>
  <c r="AB1709" i="5"/>
  <c r="T1709" i="5"/>
  <c r="S1709" i="5"/>
  <c r="V1722" i="5"/>
  <c r="G1722" i="5" s="1"/>
  <c r="AB1726" i="5"/>
  <c r="V1735" i="5"/>
  <c r="V1759" i="5"/>
  <c r="G1759" i="5" s="1"/>
  <c r="T1545" i="5"/>
  <c r="AB1549" i="5"/>
  <c r="T1550" i="5"/>
  <c r="H1552" i="5"/>
  <c r="G1556" i="5"/>
  <c r="G1560" i="5"/>
  <c r="G1564" i="5"/>
  <c r="G1568" i="5"/>
  <c r="G1572" i="5"/>
  <c r="G1580" i="5"/>
  <c r="G1584" i="5"/>
  <c r="G1588"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80" i="5"/>
  <c r="H1584" i="5"/>
  <c r="H1588" i="5"/>
  <c r="H1596" i="5"/>
  <c r="H1600" i="5"/>
  <c r="H1604" i="5"/>
  <c r="H1608" i="5"/>
  <c r="H1612" i="5"/>
  <c r="H1616" i="5"/>
  <c r="H1620" i="5"/>
  <c r="V1634" i="5"/>
  <c r="G1634" i="5" s="1"/>
  <c r="AB1653" i="5"/>
  <c r="T1653" i="5"/>
  <c r="S1653" i="5"/>
  <c r="V1666" i="5"/>
  <c r="G1666" i="5" s="1"/>
  <c r="F1675" i="5"/>
  <c r="AB1685" i="5"/>
  <c r="T1685" i="5"/>
  <c r="S1685" i="5"/>
  <c r="E1691" i="5"/>
  <c r="X1691" i="5" s="1"/>
  <c r="R1691" i="5"/>
  <c r="J1691" i="5"/>
  <c r="I1691" i="5"/>
  <c r="H1691" i="5"/>
  <c r="V1698" i="5"/>
  <c r="G1698" i="5" s="1"/>
  <c r="AB1717" i="5"/>
  <c r="T1717" i="5"/>
  <c r="S1717"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AB1657" i="5"/>
  <c r="T1657" i="5"/>
  <c r="S1657" i="5"/>
  <c r="E1663" i="5"/>
  <c r="X1663" i="5" s="1"/>
  <c r="V1670" i="5"/>
  <c r="G1670" i="5" s="1"/>
  <c r="AB1674" i="5"/>
  <c r="G1675" i="5"/>
  <c r="AB1689" i="5"/>
  <c r="T1689" i="5"/>
  <c r="S1689" i="5"/>
  <c r="V1702" i="5"/>
  <c r="G1702" i="5" s="1"/>
  <c r="AB1706"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E1580" i="5"/>
  <c r="X1580" i="5" s="1"/>
  <c r="R1580" i="5"/>
  <c r="J1580" i="5"/>
  <c r="E1584" i="5"/>
  <c r="X1584" i="5" s="1"/>
  <c r="R1584" i="5"/>
  <c r="J1584" i="5"/>
  <c r="E1588" i="5"/>
  <c r="X1588" i="5" s="1"/>
  <c r="R1588" i="5"/>
  <c r="J1588" i="5"/>
  <c r="E1596" i="5"/>
  <c r="X1596" i="5" s="1"/>
  <c r="R1596" i="5"/>
  <c r="J1596" i="5"/>
  <c r="E1600" i="5"/>
  <c r="X1600" i="5" s="1"/>
  <c r="R1600" i="5"/>
  <c r="J1600" i="5"/>
  <c r="E1604" i="5"/>
  <c r="X1604" i="5" s="1"/>
  <c r="R1604" i="5"/>
  <c r="J1604"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V1674" i="5"/>
  <c r="G1674" i="5" s="1"/>
  <c r="AB1678" i="5"/>
  <c r="AB1693" i="5"/>
  <c r="T1693" i="5"/>
  <c r="S1693"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6" i="5"/>
  <c r="J1648" i="5"/>
  <c r="J1660" i="5"/>
  <c r="J1676" i="5"/>
  <c r="J1680" i="5"/>
  <c r="J1684" i="5"/>
  <c r="J1688" i="5"/>
  <c r="J1700" i="5"/>
  <c r="J1704" i="5"/>
  <c r="J1708" i="5"/>
  <c r="J1716" i="5"/>
  <c r="J1720"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6" i="5"/>
  <c r="R1644" i="5"/>
  <c r="R1648" i="5"/>
  <c r="R1660" i="5"/>
  <c r="R1676" i="5"/>
  <c r="R1680" i="5"/>
  <c r="R1684" i="5"/>
  <c r="R1688" i="5"/>
  <c r="R1700" i="5"/>
  <c r="R1704" i="5"/>
  <c r="R1708" i="5"/>
  <c r="R1716" i="5"/>
  <c r="R1720"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E1776" i="5"/>
  <c r="X1776" i="5" s="1"/>
  <c r="H1777" i="5"/>
  <c r="E1780" i="5"/>
  <c r="X1780" i="5" s="1"/>
  <c r="H1781" i="5"/>
  <c r="E1784" i="5"/>
  <c r="X1784" i="5" s="1"/>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J1899" i="5"/>
  <c r="T1907" i="5"/>
  <c r="S1907" i="5"/>
  <c r="T1911" i="5"/>
  <c r="S1911" i="5"/>
  <c r="T1915" i="5"/>
  <c r="S1915" i="5"/>
  <c r="T1919" i="5"/>
  <c r="S1919" i="5"/>
  <c r="T1923" i="5"/>
  <c r="S1923" i="5"/>
  <c r="AB1923" i="5"/>
  <c r="V1941" i="5"/>
  <c r="T1944" i="5"/>
  <c r="S1944"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V1945" i="5"/>
  <c r="T1948" i="5"/>
  <c r="S1948"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9" i="5"/>
  <c r="J2023" i="5"/>
  <c r="J2027" i="5"/>
  <c r="J2031" i="5"/>
  <c r="J2035" i="5"/>
  <c r="J2039" i="5"/>
  <c r="J2047" i="5"/>
  <c r="V2048" i="5"/>
  <c r="G2048" i="5" s="1"/>
  <c r="H2052" i="5"/>
  <c r="V2053" i="5"/>
  <c r="G2053" i="5" s="1"/>
  <c r="S2054" i="5"/>
  <c r="G2055" i="5"/>
  <c r="T2056" i="5"/>
  <c r="S2056" i="5"/>
  <c r="H2060" i="5"/>
  <c r="V2061" i="5"/>
  <c r="G2061" i="5" s="1"/>
  <c r="S2062" i="5"/>
  <c r="G2063" i="5"/>
  <c r="T2064" i="5"/>
  <c r="S2064" i="5"/>
  <c r="V2069" i="5"/>
  <c r="G2069" i="5" s="1"/>
  <c r="S2070" i="5"/>
  <c r="G2071" i="5"/>
  <c r="T2072" i="5"/>
  <c r="S2072"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9" i="5"/>
  <c r="R2023" i="5"/>
  <c r="R2027" i="5"/>
  <c r="R2031" i="5"/>
  <c r="R2035" i="5"/>
  <c r="R2039" i="5"/>
  <c r="R2047" i="5"/>
  <c r="V2051" i="5"/>
  <c r="I2052" i="5"/>
  <c r="T2054" i="5"/>
  <c r="V2059" i="5"/>
  <c r="I2060" i="5"/>
  <c r="T2062" i="5"/>
  <c r="V2067" i="5"/>
  <c r="T2070" i="5"/>
  <c r="V2075"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V2070"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G2012" i="5"/>
  <c r="G2016" i="5"/>
  <c r="E2019" i="5"/>
  <c r="X2019" i="5" s="1"/>
  <c r="G2020" i="5"/>
  <c r="E2023" i="5"/>
  <c r="X2023" i="5" s="1"/>
  <c r="G2024" i="5"/>
  <c r="E2027" i="5"/>
  <c r="X2027" i="5" s="1"/>
  <c r="G2028" i="5"/>
  <c r="E2031" i="5"/>
  <c r="X2031" i="5" s="1"/>
  <c r="G2032" i="5"/>
  <c r="E2035" i="5"/>
  <c r="X2035" i="5" s="1"/>
  <c r="G2036" i="5"/>
  <c r="E2039" i="5"/>
  <c r="X2039" i="5" s="1"/>
  <c r="G2040" i="5"/>
  <c r="G2044" i="5"/>
  <c r="E2047" i="5"/>
  <c r="X2047" i="5" s="1"/>
  <c r="R2052" i="5"/>
  <c r="G2056" i="5"/>
  <c r="R2060"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J2156" i="5"/>
  <c r="J2161" i="5"/>
  <c r="G2173" i="5"/>
  <c r="F2173" i="5"/>
  <c r="E2173" i="5"/>
  <c r="X2173" i="5" s="1"/>
  <c r="AB2177" i="5"/>
  <c r="T2177" i="5"/>
  <c r="S2177"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S2166"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V2135" i="5"/>
  <c r="S2138" i="5"/>
  <c r="I2141" i="5"/>
  <c r="H2144" i="5"/>
  <c r="H2145" i="5"/>
  <c r="G2149" i="5"/>
  <c r="F2149" i="5"/>
  <c r="E2149" i="5"/>
  <c r="X2149" i="5" s="1"/>
  <c r="T2153" i="5"/>
  <c r="S2153" i="5"/>
  <c r="V2154" i="5"/>
  <c r="G2154" i="5" s="1"/>
  <c r="AB2158" i="5"/>
  <c r="AB2163"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T2157" i="5"/>
  <c r="S2157" i="5"/>
  <c r="V2158" i="5"/>
  <c r="G2158" i="5" s="1"/>
  <c r="AB2162" i="5"/>
  <c r="AB2167" i="5"/>
  <c r="E2168" i="5"/>
  <c r="X2168" i="5" s="1"/>
  <c r="R2168" i="5"/>
  <c r="J2168" i="5"/>
  <c r="V2171" i="5"/>
  <c r="G2171" i="5" s="1"/>
  <c r="J2173" i="5"/>
  <c r="J2177" i="5"/>
  <c r="AB2182" i="5"/>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R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4" i="5"/>
  <c r="J2188" i="5"/>
  <c r="AB2198" i="5"/>
  <c r="T2198" i="5"/>
  <c r="E2198" i="5"/>
  <c r="X2198" i="5" s="1"/>
  <c r="AB2206" i="5"/>
  <c r="T2206" i="5"/>
  <c r="H2206" i="5"/>
  <c r="E2206" i="5"/>
  <c r="X2206" i="5" s="1"/>
  <c r="AB2214" i="5"/>
  <c r="T2214" i="5"/>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7" i="5"/>
  <c r="R2217" i="5"/>
  <c r="G2223" i="5"/>
  <c r="AB2223" i="5"/>
  <c r="E2224" i="5"/>
  <c r="X2224" i="5" s="1"/>
  <c r="I2224" i="5"/>
  <c r="AB2230" i="5"/>
  <c r="T2230"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J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I2232" i="5"/>
  <c r="G2235" i="5"/>
  <c r="I2236" i="5"/>
  <c r="G2239" i="5"/>
  <c r="G2243" i="5"/>
  <c r="G2247" i="5"/>
  <c r="G2251" i="5"/>
  <c r="G2255" i="5"/>
  <c r="G2259" i="5"/>
  <c r="G2263" i="5"/>
  <c r="J2272" i="5"/>
  <c r="V2275" i="5"/>
  <c r="T2277" i="5"/>
  <c r="AB2277" i="5"/>
  <c r="H2281" i="5"/>
  <c r="V2282" i="5"/>
  <c r="G2290" i="5"/>
  <c r="G2293" i="5"/>
  <c r="G2294" i="5"/>
  <c r="G2298" i="5"/>
  <c r="F2302" i="5"/>
  <c r="R2304" i="5"/>
  <c r="I2304" i="5"/>
  <c r="G2304" i="5"/>
  <c r="G2311" i="5"/>
  <c r="AB2314"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E2293" i="5"/>
  <c r="X2293" i="5" s="1"/>
  <c r="R2293" i="5"/>
  <c r="E2302" i="5"/>
  <c r="X2302" i="5" s="1"/>
  <c r="R2302" i="5"/>
  <c r="H2305" i="5"/>
  <c r="H2307"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T2334" i="5"/>
  <c r="R2337" i="5"/>
  <c r="T2338" i="5"/>
  <c r="R2341" i="5"/>
  <c r="T2342" i="5"/>
  <c r="R2345" i="5"/>
  <c r="T2346" i="5"/>
  <c r="R2349" i="5"/>
  <c r="G2355" i="5"/>
  <c r="AB2361" i="5"/>
  <c r="T2361" i="5"/>
  <c r="AB2369" i="5"/>
  <c r="T2369" i="5"/>
  <c r="AB2377" i="5"/>
  <c r="T2377" i="5"/>
  <c r="G2387" i="5"/>
  <c r="I2394" i="5"/>
  <c r="H2394" i="5"/>
  <c r="J2394" i="5"/>
  <c r="F2394" i="5"/>
  <c r="E2394" i="5"/>
  <c r="X2394" i="5" s="1"/>
  <c r="R2411" i="5"/>
  <c r="J2411" i="5"/>
  <c r="I2411" i="5"/>
  <c r="H2411" i="5"/>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60" i="5"/>
  <c r="V2462" i="5"/>
  <c r="G2462" i="5" s="1"/>
  <c r="J2468" i="5"/>
  <c r="V2470" i="5"/>
  <c r="G2481" i="5"/>
  <c r="G2487"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0" i="5"/>
  <c r="T372" i="5"/>
  <c r="T336" i="5"/>
  <c r="T436" i="5"/>
  <c r="T348" i="5"/>
  <c r="T432" i="5"/>
  <c r="S510" i="5"/>
  <c r="T383" i="5"/>
  <c r="T376" i="5"/>
  <c r="T294" i="5"/>
  <c r="S343" i="5"/>
  <c r="T301" i="5"/>
  <c r="S396" i="5"/>
  <c r="T316" i="5"/>
  <c r="S400" i="5"/>
  <c r="S408" i="5"/>
  <c r="S371" i="5"/>
  <c r="T395" i="5"/>
  <c r="S436" i="5"/>
  <c r="T519" i="5"/>
  <c r="S427" i="5"/>
  <c r="S451" i="5"/>
  <c r="T499" i="5"/>
  <c r="T515" i="5"/>
  <c r="S547" i="5"/>
  <c r="T559" i="5"/>
  <c r="T534" i="5"/>
  <c r="T554" i="5"/>
  <c r="T481" i="5"/>
  <c r="S376" i="5"/>
  <c r="T400" i="5"/>
  <c r="T456" i="5"/>
  <c r="S348" i="5"/>
  <c r="T440" i="5"/>
  <c r="S538" i="5"/>
  <c r="T326" i="5"/>
  <c r="S360" i="5"/>
  <c r="T312" i="5"/>
  <c r="T331" i="5"/>
  <c r="T470" i="5"/>
  <c r="S294" i="5"/>
  <c r="T387" i="5"/>
  <c r="T458" i="5"/>
  <c r="T375" i="5"/>
  <c r="T317" i="5"/>
  <c r="T362" i="5"/>
  <c r="T399" i="5"/>
  <c r="S416" i="5"/>
  <c r="T447" i="5"/>
  <c r="T555" i="5"/>
  <c r="S431" i="5"/>
  <c r="T454" i="5"/>
  <c r="S559" i="5"/>
  <c r="T490" i="5"/>
  <c r="T539" i="5"/>
  <c r="S509" i="5"/>
  <c r="T404" i="5"/>
  <c r="S340" i="5"/>
  <c r="T416" i="5"/>
  <c r="T293" i="5"/>
  <c r="T297" i="5"/>
  <c r="T334" i="5"/>
  <c r="S387" i="5"/>
  <c r="T298" i="5"/>
  <c r="T398" i="5"/>
  <c r="T463" i="5"/>
  <c r="T355" i="5"/>
  <c r="T482" i="5"/>
  <c r="T541" i="5"/>
  <c r="T335" i="5"/>
  <c r="S428" i="5"/>
  <c r="S448" i="5"/>
  <c r="S456" i="5"/>
  <c r="T487" i="5"/>
  <c r="T535" i="5"/>
  <c r="T571" i="5"/>
  <c r="S435" i="5"/>
  <c r="T460" i="5"/>
  <c r="T419" i="5"/>
  <c r="T439" i="5"/>
  <c r="T567" i="5"/>
  <c r="T469" i="5"/>
  <c r="T562" i="5"/>
  <c r="T497" i="5"/>
  <c r="T340" i="5"/>
  <c r="T330" i="5"/>
  <c r="T360" i="5"/>
  <c r="T321" i="5"/>
  <c r="T367" i="5"/>
  <c r="S415" i="5"/>
  <c r="T386" i="5"/>
  <c r="T407" i="5"/>
  <c r="S440" i="5"/>
  <c r="S571" i="5"/>
  <c r="S439" i="5"/>
  <c r="T585" i="5"/>
  <c r="T550" i="5"/>
  <c r="S567" i="5"/>
  <c r="T538" i="5"/>
  <c r="T551" i="5"/>
  <c r="T518" i="5"/>
  <c r="S467" i="5"/>
  <c r="T593" i="5"/>
  <c r="T337" i="5"/>
  <c r="T412" i="5"/>
  <c r="T414" i="5"/>
  <c r="S542" i="5"/>
  <c r="T370" i="5"/>
  <c r="S407" i="5"/>
  <c r="T281" i="5"/>
  <c r="T320" i="5"/>
  <c r="S351" i="5"/>
  <c r="S298" i="5"/>
  <c r="S388" i="5"/>
  <c r="T282" i="5"/>
  <c r="S301" i="5"/>
  <c r="T346" i="5"/>
  <c r="T324" i="5"/>
  <c r="S403" i="5"/>
  <c r="T363" i="5"/>
  <c r="S420" i="5"/>
  <c r="T509" i="5"/>
  <c r="T442" i="5"/>
  <c r="S463" i="5"/>
  <c r="T479" i="5"/>
  <c r="T522" i="5"/>
  <c r="T543" i="5"/>
  <c r="T565" i="5"/>
  <c r="S551" i="5"/>
  <c r="S585" i="5"/>
  <c r="T486" i="5"/>
  <c r="T502" i="5"/>
  <c r="T513" i="5"/>
  <c r="T583" i="5"/>
  <c r="T589" i="5"/>
  <c r="T392" i="5"/>
  <c r="T408" i="5"/>
  <c r="T444" i="5"/>
  <c r="T380" i="5"/>
  <c r="T303" i="5"/>
  <c r="T428" i="5"/>
  <c r="S478" i="5"/>
  <c r="T285" i="5"/>
  <c r="T322" i="5"/>
  <c r="T342" i="5"/>
  <c r="T344" i="5"/>
  <c r="S363" i="5"/>
  <c r="S303" i="5"/>
  <c r="S391" i="5"/>
  <c r="T284" i="5"/>
  <c r="T308" i="5"/>
  <c r="T325" i="5"/>
  <c r="T514" i="5"/>
  <c r="S347" i="5"/>
  <c r="T411" i="5"/>
  <c r="S432" i="5"/>
  <c r="T451" i="5"/>
  <c r="T503" i="5"/>
  <c r="T546" i="5"/>
  <c r="T493" i="5"/>
  <c r="T525" i="5"/>
  <c r="S443" i="5"/>
  <c r="T542" i="5"/>
  <c r="T443" i="5"/>
  <c r="T527" i="5"/>
  <c r="T491" i="5"/>
  <c r="T507" i="5"/>
  <c r="T529" i="5"/>
  <c r="S583" i="5"/>
  <c r="T452" i="5"/>
  <c r="T420" i="5"/>
  <c r="T424" i="5"/>
  <c r="T384" i="5"/>
  <c r="T306" i="5"/>
  <c r="T530" i="5"/>
  <c r="S290" i="5"/>
  <c r="T288" i="5"/>
  <c r="T368" i="5"/>
  <c r="S395" i="5"/>
  <c r="T309" i="5"/>
  <c r="S399" i="5"/>
  <c r="S404" i="5"/>
  <c r="T352" i="5"/>
  <c r="S412" i="5"/>
  <c r="T423" i="5"/>
  <c r="S452" i="5"/>
  <c r="T558" i="5"/>
  <c r="S419" i="5"/>
  <c r="S447" i="5"/>
  <c r="T494" i="5"/>
  <c r="T510" i="5"/>
  <c r="T526" i="5"/>
  <c r="T545" i="5"/>
  <c r="T506" i="5"/>
  <c r="T475" i="5"/>
  <c r="T569" i="5"/>
  <c r="T557" i="5"/>
  <c r="T388" i="5"/>
  <c r="T396" i="5"/>
  <c r="T448" i="5"/>
  <c r="T350" i="5"/>
  <c r="T328" i="5"/>
  <c r="S384" i="5"/>
  <c r="S282" i="5"/>
  <c r="T332" i="5"/>
  <c r="T290" i="5"/>
  <c r="S392" i="5"/>
  <c r="T477" i="5"/>
  <c r="T300" i="5"/>
  <c r="T347" i="5"/>
  <c r="T359" i="5"/>
  <c r="S379" i="5"/>
  <c r="T371" i="5"/>
  <c r="T391" i="5"/>
  <c r="S424" i="5"/>
  <c r="T435" i="5"/>
  <c r="S444" i="5"/>
  <c r="T549" i="5"/>
  <c r="S423" i="5"/>
  <c r="T450" i="5"/>
  <c r="T478" i="5"/>
  <c r="T547" i="5"/>
  <c r="S469" i="5"/>
  <c r="S460" i="5"/>
  <c r="T511" i="5"/>
  <c r="T581" i="5"/>
  <c r="S493" i="5"/>
  <c r="T318" i="5"/>
  <c r="T467" i="5"/>
  <c r="T498" i="5"/>
  <c r="T427" i="5"/>
  <c r="T379" i="5"/>
  <c r="T455" i="5"/>
  <c r="T356" i="5"/>
  <c r="T310" i="5"/>
  <c r="T351" i="5"/>
  <c r="T415" i="5"/>
  <c r="T431" i="5"/>
  <c r="T483" i="5"/>
  <c r="T343" i="5"/>
  <c r="T403" i="5"/>
  <c r="C280" i="5" l="1"/>
  <c r="AB280" i="5" s="1"/>
  <c r="V280" i="5"/>
  <c r="R280" i="5" s="1"/>
  <c r="C11" i="6"/>
  <c r="C8" i="6"/>
  <c r="R1288" i="5"/>
  <c r="J798" i="5"/>
  <c r="J663" i="5"/>
  <c r="J1651" i="5"/>
  <c r="J1712" i="5"/>
  <c r="R1109" i="5"/>
  <c r="C9" i="6"/>
  <c r="C4" i="6"/>
  <c r="C10" i="6"/>
  <c r="B11" i="5"/>
  <c r="B18" i="5"/>
  <c r="B26" i="5"/>
  <c r="B42" i="5"/>
  <c r="B50" i="5"/>
  <c r="B58" i="5"/>
  <c r="B66" i="5"/>
  <c r="B74" i="5"/>
  <c r="B82" i="5"/>
  <c r="B90" i="5"/>
  <c r="B98" i="5"/>
  <c r="B106" i="5"/>
  <c r="B114" i="5"/>
  <c r="B122" i="5"/>
  <c r="B130" i="5"/>
  <c r="B138" i="5"/>
  <c r="B146" i="5"/>
  <c r="B154" i="5"/>
  <c r="B162" i="5"/>
  <c r="B170" i="5"/>
  <c r="B178" i="5"/>
  <c r="B186" i="5"/>
  <c r="B194" i="5"/>
  <c r="B202" i="5"/>
  <c r="B210" i="5"/>
  <c r="B218" i="5"/>
  <c r="B226" i="5"/>
  <c r="B234" i="5"/>
  <c r="B242" i="5"/>
  <c r="B250" i="5"/>
  <c r="B258" i="5"/>
  <c r="C12" i="5"/>
  <c r="C27" i="5"/>
  <c r="C35" i="5"/>
  <c r="C43" i="5"/>
  <c r="C51" i="5"/>
  <c r="C59" i="5"/>
  <c r="C67" i="5"/>
  <c r="C75" i="5"/>
  <c r="C83" i="5"/>
  <c r="C91" i="5"/>
  <c r="C99" i="5"/>
  <c r="C107" i="5"/>
  <c r="C115" i="5"/>
  <c r="C123" i="5"/>
  <c r="C131" i="5"/>
  <c r="C139" i="5"/>
  <c r="C147" i="5"/>
  <c r="C155" i="5"/>
  <c r="C163" i="5"/>
  <c r="C171" i="5"/>
  <c r="C179" i="5"/>
  <c r="C187" i="5"/>
  <c r="C195" i="5"/>
  <c r="C203" i="5"/>
  <c r="C211" i="5"/>
  <c r="C219" i="5"/>
  <c r="C227" i="5"/>
  <c r="C235" i="5"/>
  <c r="C243" i="5"/>
  <c r="C251" i="5"/>
  <c r="C259" i="5"/>
  <c r="V267" i="5"/>
  <c r="V275" i="5"/>
  <c r="C14" i="5"/>
  <c r="C61" i="5"/>
  <c r="C85" i="5"/>
  <c r="C133" i="5"/>
  <c r="C165" i="5"/>
  <c r="C197" i="5"/>
  <c r="C229" i="5"/>
  <c r="C216" i="5"/>
  <c r="B12"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C5" i="5"/>
  <c r="C13" i="5"/>
  <c r="C44" i="5"/>
  <c r="C52" i="5"/>
  <c r="C60" i="5"/>
  <c r="C68" i="5"/>
  <c r="C84" i="5"/>
  <c r="C92" i="5"/>
  <c r="C100" i="5"/>
  <c r="C108" i="5"/>
  <c r="C116" i="5"/>
  <c r="C124" i="5"/>
  <c r="C132" i="5"/>
  <c r="C140" i="5"/>
  <c r="C148" i="5"/>
  <c r="C156" i="5"/>
  <c r="C164" i="5"/>
  <c r="C172" i="5"/>
  <c r="C180" i="5"/>
  <c r="C188" i="5"/>
  <c r="C196" i="5"/>
  <c r="C204" i="5"/>
  <c r="C212" i="5"/>
  <c r="C220" i="5"/>
  <c r="C228" i="5"/>
  <c r="C236" i="5"/>
  <c r="C244" i="5"/>
  <c r="C252" i="5"/>
  <c r="C260" i="5"/>
  <c r="V276" i="5"/>
  <c r="C53" i="5"/>
  <c r="C93" i="5"/>
  <c r="C117" i="5"/>
  <c r="C157" i="5"/>
  <c r="C189" i="5"/>
  <c r="C221" i="5"/>
  <c r="C261" i="5"/>
  <c r="C224" i="5"/>
  <c r="B5" i="5"/>
  <c r="B13" i="5"/>
  <c r="B44" i="5"/>
  <c r="B52" i="5"/>
  <c r="B60" i="5"/>
  <c r="B68" i="5"/>
  <c r="B84" i="5"/>
  <c r="B92" i="5"/>
  <c r="B100" i="5"/>
  <c r="B108" i="5"/>
  <c r="B116" i="5"/>
  <c r="B124" i="5"/>
  <c r="B132" i="5"/>
  <c r="B140" i="5"/>
  <c r="B148" i="5"/>
  <c r="B156" i="5"/>
  <c r="B164" i="5"/>
  <c r="B172" i="5"/>
  <c r="B180" i="5"/>
  <c r="B188" i="5"/>
  <c r="B196" i="5"/>
  <c r="B204" i="5"/>
  <c r="B212" i="5"/>
  <c r="B220" i="5"/>
  <c r="B228" i="5"/>
  <c r="B236" i="5"/>
  <c r="B244" i="5"/>
  <c r="B252" i="5"/>
  <c r="B260" i="5"/>
  <c r="C6" i="5"/>
  <c r="C125" i="5"/>
  <c r="C237" i="5"/>
  <c r="B6" i="5"/>
  <c r="B14"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53" i="5"/>
  <c r="B261" i="5"/>
  <c r="C7" i="5"/>
  <c r="C15" i="5"/>
  <c r="C22" i="5"/>
  <c r="C46" i="5"/>
  <c r="C54" i="5"/>
  <c r="C62" i="5"/>
  <c r="C70" i="5"/>
  <c r="C78" i="5"/>
  <c r="C86" i="5"/>
  <c r="C94" i="5"/>
  <c r="C102" i="5"/>
  <c r="C110" i="5"/>
  <c r="C118" i="5"/>
  <c r="C126" i="5"/>
  <c r="C134" i="5"/>
  <c r="C142" i="5"/>
  <c r="C150" i="5"/>
  <c r="C158" i="5"/>
  <c r="C166" i="5"/>
  <c r="C174" i="5"/>
  <c r="C182" i="5"/>
  <c r="C190" i="5"/>
  <c r="C198" i="5"/>
  <c r="C206" i="5"/>
  <c r="C214" i="5"/>
  <c r="C222" i="5"/>
  <c r="C230" i="5"/>
  <c r="C238" i="5"/>
  <c r="C246" i="5"/>
  <c r="C254" i="5"/>
  <c r="C262" i="5"/>
  <c r="V278" i="5"/>
  <c r="C9" i="5"/>
  <c r="C56" i="5"/>
  <c r="C72" i="5"/>
  <c r="C96" i="5"/>
  <c r="C112" i="5"/>
  <c r="C136" i="5"/>
  <c r="C152" i="5"/>
  <c r="C176" i="5"/>
  <c r="C192" i="5"/>
  <c r="C240" i="5"/>
  <c r="V264" i="5"/>
  <c r="R264" i="5" s="1"/>
  <c r="B7" i="5"/>
  <c r="B15" i="5"/>
  <c r="B22" i="5"/>
  <c r="B46" i="5"/>
  <c r="B54" i="5"/>
  <c r="B62" i="5"/>
  <c r="B70" i="5"/>
  <c r="B78" i="5"/>
  <c r="B86" i="5"/>
  <c r="B94" i="5"/>
  <c r="B102" i="5"/>
  <c r="B110" i="5"/>
  <c r="B118" i="5"/>
  <c r="B126" i="5"/>
  <c r="B134" i="5"/>
  <c r="B142" i="5"/>
  <c r="B150" i="5"/>
  <c r="B158" i="5"/>
  <c r="B166" i="5"/>
  <c r="B174" i="5"/>
  <c r="B182" i="5"/>
  <c r="B190" i="5"/>
  <c r="B198" i="5"/>
  <c r="B206" i="5"/>
  <c r="B214" i="5"/>
  <c r="B222" i="5"/>
  <c r="B230" i="5"/>
  <c r="B238" i="5"/>
  <c r="B246" i="5"/>
  <c r="B254" i="5"/>
  <c r="B262" i="5"/>
  <c r="C8" i="5"/>
  <c r="C16" i="5"/>
  <c r="C23" i="5"/>
  <c r="C39" i="5"/>
  <c r="C47" i="5"/>
  <c r="C55" i="5"/>
  <c r="C63" i="5"/>
  <c r="C71" i="5"/>
  <c r="C79" i="5"/>
  <c r="C87" i="5"/>
  <c r="C95" i="5"/>
  <c r="C103" i="5"/>
  <c r="C111" i="5"/>
  <c r="C119" i="5"/>
  <c r="C127" i="5"/>
  <c r="C135" i="5"/>
  <c r="C143" i="5"/>
  <c r="C151" i="5"/>
  <c r="C159" i="5"/>
  <c r="C167" i="5"/>
  <c r="C175" i="5"/>
  <c r="C183" i="5"/>
  <c r="C191" i="5"/>
  <c r="C199" i="5"/>
  <c r="C207" i="5"/>
  <c r="C215" i="5"/>
  <c r="C223" i="5"/>
  <c r="C231" i="5"/>
  <c r="C239" i="5"/>
  <c r="C247" i="5"/>
  <c r="C255" i="5"/>
  <c r="C263" i="5"/>
  <c r="V271" i="5"/>
  <c r="V279" i="5"/>
  <c r="C32" i="5"/>
  <c r="C48" i="5"/>
  <c r="C64" i="5"/>
  <c r="C88" i="5"/>
  <c r="C104" i="5"/>
  <c r="C120" i="5"/>
  <c r="C144" i="5"/>
  <c r="C160" i="5"/>
  <c r="C184" i="5"/>
  <c r="C200" i="5"/>
  <c r="C248" i="5"/>
  <c r="B8" i="5"/>
  <c r="B16" i="5"/>
  <c r="B23"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C24" i="5"/>
  <c r="C80" i="5"/>
  <c r="C128" i="5"/>
  <c r="C168" i="5"/>
  <c r="C232" i="5"/>
  <c r="B9" i="5"/>
  <c r="B24" i="5"/>
  <c r="B32"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C10" i="5"/>
  <c r="C17" i="5"/>
  <c r="C25" i="5"/>
  <c r="C33" i="5"/>
  <c r="C49" i="5"/>
  <c r="C57" i="5"/>
  <c r="C65" i="5"/>
  <c r="C73" i="5"/>
  <c r="C81" i="5"/>
  <c r="C89" i="5"/>
  <c r="C97" i="5"/>
  <c r="C105" i="5"/>
  <c r="C113" i="5"/>
  <c r="C121" i="5"/>
  <c r="C129" i="5"/>
  <c r="C137" i="5"/>
  <c r="C145" i="5"/>
  <c r="C153" i="5"/>
  <c r="C161" i="5"/>
  <c r="C177" i="5"/>
  <c r="C185" i="5"/>
  <c r="C193" i="5"/>
  <c r="C201" i="5"/>
  <c r="C209" i="5"/>
  <c r="C217" i="5"/>
  <c r="C225" i="5"/>
  <c r="C233" i="5"/>
  <c r="C241" i="5"/>
  <c r="C249" i="5"/>
  <c r="C257" i="5"/>
  <c r="C69" i="5"/>
  <c r="C101" i="5"/>
  <c r="C141" i="5"/>
  <c r="C173" i="5"/>
  <c r="C205" i="5"/>
  <c r="C245" i="5"/>
  <c r="C256" i="5"/>
  <c r="B10" i="5"/>
  <c r="B17" i="5"/>
  <c r="B25" i="5"/>
  <c r="B33" i="5"/>
  <c r="B49" i="5"/>
  <c r="B57" i="5"/>
  <c r="B65" i="5"/>
  <c r="B73" i="5"/>
  <c r="B81" i="5"/>
  <c r="B89" i="5"/>
  <c r="B97" i="5"/>
  <c r="B105" i="5"/>
  <c r="B113" i="5"/>
  <c r="B121" i="5"/>
  <c r="B129" i="5"/>
  <c r="B137" i="5"/>
  <c r="B145" i="5"/>
  <c r="B153" i="5"/>
  <c r="B161" i="5"/>
  <c r="B177" i="5"/>
  <c r="B185" i="5"/>
  <c r="B193" i="5"/>
  <c r="B201" i="5"/>
  <c r="B209" i="5"/>
  <c r="B217" i="5"/>
  <c r="B225" i="5"/>
  <c r="B233" i="5"/>
  <c r="B241" i="5"/>
  <c r="B249" i="5"/>
  <c r="B257" i="5"/>
  <c r="C11" i="5"/>
  <c r="C18" i="5"/>
  <c r="C26" i="5"/>
  <c r="C42" i="5"/>
  <c r="C50" i="5"/>
  <c r="C58" i="5"/>
  <c r="C66" i="5"/>
  <c r="C74" i="5"/>
  <c r="C82" i="5"/>
  <c r="C90" i="5"/>
  <c r="V90" i="5" s="1"/>
  <c r="G90" i="5" s="1"/>
  <c r="C98" i="5"/>
  <c r="C106" i="5"/>
  <c r="C114" i="5"/>
  <c r="V114" i="5" s="1"/>
  <c r="H114" i="5" s="1"/>
  <c r="C122" i="5"/>
  <c r="C130" i="5"/>
  <c r="C138" i="5"/>
  <c r="C146" i="5"/>
  <c r="V146" i="5" s="1"/>
  <c r="C154" i="5"/>
  <c r="C162" i="5"/>
  <c r="C170" i="5"/>
  <c r="C178" i="5"/>
  <c r="C186" i="5"/>
  <c r="C194" i="5"/>
  <c r="C202" i="5"/>
  <c r="C210" i="5"/>
  <c r="V210" i="5" s="1"/>
  <c r="C218" i="5"/>
  <c r="C226" i="5"/>
  <c r="C234" i="5"/>
  <c r="C242" i="5"/>
  <c r="V242" i="5" s="1"/>
  <c r="G242" i="5" s="1"/>
  <c r="C250" i="5"/>
  <c r="V250" i="5" s="1"/>
  <c r="I250" i="5" s="1"/>
  <c r="C258" i="5"/>
  <c r="C45" i="5"/>
  <c r="C77" i="5"/>
  <c r="C109" i="5"/>
  <c r="C149" i="5"/>
  <c r="C181" i="5"/>
  <c r="C213" i="5"/>
  <c r="C253" i="5"/>
  <c r="C208" i="5"/>
  <c r="R2164" i="5"/>
  <c r="I1966" i="5"/>
  <c r="E2164" i="5"/>
  <c r="X2164" i="5" s="1"/>
  <c r="J2068" i="5"/>
  <c r="I2068" i="5"/>
  <c r="J1966" i="5"/>
  <c r="I986" i="5"/>
  <c r="H649" i="5"/>
  <c r="E289" i="5"/>
  <c r="X289" i="5" s="1"/>
  <c r="E2043" i="5"/>
  <c r="X2043" i="5" s="1"/>
  <c r="R2043" i="5"/>
  <c r="R1966" i="5"/>
  <c r="F289" i="5"/>
  <c r="H986" i="5"/>
  <c r="E1966" i="5"/>
  <c r="X1966" i="5" s="1"/>
  <c r="H1958" i="5"/>
  <c r="R986" i="5"/>
  <c r="R2068" i="5"/>
  <c r="I1958" i="5"/>
  <c r="E1271" i="5"/>
  <c r="X1271" i="5" s="1"/>
  <c r="H2068" i="5"/>
  <c r="J1958" i="5"/>
  <c r="R1958" i="5"/>
  <c r="E1197" i="5"/>
  <c r="X1197" i="5" s="1"/>
  <c r="I677" i="5"/>
  <c r="H677" i="5"/>
  <c r="J986" i="5"/>
  <c r="S605" i="5"/>
  <c r="S609" i="5"/>
  <c r="X519" i="5"/>
  <c r="X362" i="5"/>
  <c r="X321" i="5"/>
  <c r="X346" i="5"/>
  <c r="X455" i="5"/>
  <c r="S597" i="5"/>
  <c r="X549" i="5"/>
  <c r="X541" i="5"/>
  <c r="X375" i="5"/>
  <c r="X503" i="5"/>
  <c r="X502" i="5"/>
  <c r="X337" i="5"/>
  <c r="X322" i="5"/>
  <c r="X359" i="5"/>
  <c r="X482" i="5"/>
  <c r="X325" i="5"/>
  <c r="X309" i="5"/>
  <c r="X487" i="5"/>
  <c r="X513" i="5"/>
  <c r="X497" i="5"/>
  <c r="X481" i="5"/>
  <c r="X557" i="5"/>
  <c r="X554" i="5"/>
  <c r="X534" i="5"/>
  <c r="X529" i="5"/>
  <c r="X386" i="5"/>
  <c r="X545" i="5"/>
  <c r="X558" i="5"/>
  <c r="S531" i="5"/>
  <c r="X335" i="5"/>
  <c r="X355" i="5"/>
  <c r="S355" i="5"/>
  <c r="X317" i="5"/>
  <c r="X328" i="5"/>
  <c r="X300" i="5"/>
  <c r="X352" i="5"/>
  <c r="S342" i="5"/>
  <c r="X330" i="5"/>
  <c r="X332" i="5"/>
  <c r="X450" i="5"/>
  <c r="X334" i="5"/>
  <c r="X281" i="5"/>
  <c r="X324" i="5"/>
  <c r="X368" i="5"/>
  <c r="X314" i="5"/>
  <c r="S314" i="5"/>
  <c r="X326" i="5"/>
  <c r="X310" i="5"/>
  <c r="X316" i="5"/>
  <c r="X372" i="5"/>
  <c r="X356" i="5"/>
  <c r="S356" i="5"/>
  <c r="X382" i="5"/>
  <c r="S382" i="5"/>
  <c r="X312" i="5"/>
  <c r="X318" i="5"/>
  <c r="X344" i="5"/>
  <c r="X284" i="5"/>
  <c r="X320" i="5"/>
  <c r="X308" i="5"/>
  <c r="C12" i="6"/>
  <c r="C7" i="6"/>
  <c r="B32" i="6"/>
  <c r="E2317" i="5"/>
  <c r="X2317" i="5" s="1"/>
  <c r="J1918" i="5"/>
  <c r="E1288" i="5"/>
  <c r="X1288" i="5" s="1"/>
  <c r="R982" i="5"/>
  <c r="G850" i="5"/>
  <c r="R871" i="5"/>
  <c r="I850" i="5"/>
  <c r="F1734" i="5"/>
  <c r="I1858" i="5"/>
  <c r="F1576" i="5"/>
  <c r="G1351" i="5"/>
  <c r="H1338" i="5"/>
  <c r="I1223" i="5"/>
  <c r="G751" i="5"/>
  <c r="E751" i="5"/>
  <c r="X751" i="5" s="1"/>
  <c r="J774" i="5"/>
  <c r="F677" i="5"/>
  <c r="I1734" i="5"/>
  <c r="J2283" i="5"/>
  <c r="J1338" i="5"/>
  <c r="F966" i="5"/>
  <c r="J677" i="5"/>
  <c r="E577" i="5"/>
  <c r="F2188" i="5"/>
  <c r="J1734" i="5"/>
  <c r="R1338" i="5"/>
  <c r="I966" i="5"/>
  <c r="I828" i="5"/>
  <c r="H751" i="5"/>
  <c r="H577" i="5"/>
  <c r="I1664" i="5"/>
  <c r="H1576" i="5"/>
  <c r="E1338" i="5"/>
  <c r="X1338" i="5" s="1"/>
  <c r="R966" i="5"/>
  <c r="R828" i="5"/>
  <c r="J751" i="5"/>
  <c r="I577" i="5"/>
  <c r="J1491" i="5"/>
  <c r="F2408" i="5"/>
  <c r="R1668" i="5"/>
  <c r="J1576" i="5"/>
  <c r="I1338" i="5"/>
  <c r="E966" i="5"/>
  <c r="X966" i="5" s="1"/>
  <c r="J577" i="5"/>
  <c r="E677" i="5"/>
  <c r="X677" i="5" s="1"/>
  <c r="F1384" i="5"/>
  <c r="G981" i="5"/>
  <c r="G1319" i="5"/>
  <c r="F981" i="5"/>
  <c r="J671" i="5"/>
  <c r="E649" i="5"/>
  <c r="X649" i="5" s="1"/>
  <c r="J1050" i="5"/>
  <c r="H2172" i="5"/>
  <c r="J1683" i="5"/>
  <c r="I1384" i="5"/>
  <c r="I1050" i="5"/>
  <c r="I1319" i="5"/>
  <c r="I1132" i="5"/>
  <c r="H981" i="5"/>
  <c r="I649" i="5"/>
  <c r="E1384" i="5"/>
  <c r="X1384" i="5" s="1"/>
  <c r="R1038" i="5"/>
  <c r="G1132" i="5"/>
  <c r="I1014" i="5"/>
  <c r="J1319" i="5"/>
  <c r="J1132" i="5"/>
  <c r="I981" i="5"/>
  <c r="J2172" i="5"/>
  <c r="G1592" i="5"/>
  <c r="R1319" i="5"/>
  <c r="J981" i="5"/>
  <c r="E2172" i="5"/>
  <c r="X2172" i="5" s="1"/>
  <c r="H2115" i="5"/>
  <c r="R1753" i="5"/>
  <c r="J1592" i="5"/>
  <c r="H1592" i="5"/>
  <c r="H1384" i="5"/>
  <c r="I671" i="5"/>
  <c r="F2300" i="5"/>
  <c r="R1592" i="5"/>
  <c r="J1384" i="5"/>
  <c r="E1319" i="5"/>
  <c r="X1319" i="5" s="1"/>
  <c r="R2300" i="5"/>
  <c r="E1592" i="5"/>
  <c r="X1592" i="5" s="1"/>
  <c r="R1050" i="5"/>
  <c r="R1014" i="5"/>
  <c r="I1038" i="5"/>
  <c r="F1319" i="5"/>
  <c r="R851" i="5"/>
  <c r="F1946" i="5"/>
  <c r="H1946" i="5"/>
  <c r="E1425" i="5"/>
  <c r="X1425" i="5" s="1"/>
  <c r="I1380" i="5"/>
  <c r="E871" i="5"/>
  <c r="X871" i="5" s="1"/>
  <c r="J462" i="5"/>
  <c r="I1946" i="5"/>
  <c r="R1664" i="5"/>
  <c r="E1157" i="5"/>
  <c r="X1157" i="5" s="1"/>
  <c r="H462" i="5"/>
  <c r="E2362" i="5"/>
  <c r="X2362" i="5" s="1"/>
  <c r="J1946" i="5"/>
  <c r="J1437" i="5"/>
  <c r="F1157" i="5"/>
  <c r="R1946" i="5"/>
  <c r="J1664" i="5"/>
  <c r="J1425" i="5"/>
  <c r="E462" i="5"/>
  <c r="I2362" i="5"/>
  <c r="I871" i="5"/>
  <c r="I462" i="5"/>
  <c r="R573" i="5"/>
  <c r="I2479" i="5"/>
  <c r="E1946" i="5"/>
  <c r="X1946" i="5" s="1"/>
  <c r="R1324" i="5"/>
  <c r="H1157" i="5"/>
  <c r="G871" i="5"/>
  <c r="F871" i="5"/>
  <c r="H296" i="5"/>
  <c r="R745" i="5"/>
  <c r="F766" i="5"/>
  <c r="H745" i="5"/>
  <c r="E561" i="5"/>
  <c r="H2324" i="5"/>
  <c r="R1328" i="5"/>
  <c r="E573" i="5"/>
  <c r="H561" i="5"/>
  <c r="F462" i="5"/>
  <c r="G1203" i="5"/>
  <c r="R1203" i="5"/>
  <c r="H573" i="5"/>
  <c r="I561" i="5"/>
  <c r="F1664" i="5"/>
  <c r="J1203" i="5"/>
  <c r="G765" i="5"/>
  <c r="I573" i="5"/>
  <c r="J561" i="5"/>
  <c r="J296" i="5"/>
  <c r="J871" i="5"/>
  <c r="F561" i="5"/>
  <c r="H1664" i="5"/>
  <c r="J573" i="5"/>
  <c r="R2362" i="5"/>
  <c r="R2316" i="5"/>
  <c r="R2156" i="5"/>
  <c r="H1785" i="5"/>
  <c r="R798" i="5"/>
  <c r="H575" i="5"/>
  <c r="R2396" i="5"/>
  <c r="J2362" i="5"/>
  <c r="E2156" i="5"/>
  <c r="X2156" i="5" s="1"/>
  <c r="F695" i="5"/>
  <c r="I643" i="5"/>
  <c r="H402" i="5"/>
  <c r="H2396" i="5"/>
  <c r="E2396" i="5"/>
  <c r="X2396" i="5" s="1"/>
  <c r="E716" i="5"/>
  <c r="X716" i="5" s="1"/>
  <c r="J402" i="5"/>
  <c r="J1232" i="5"/>
  <c r="F716" i="5"/>
  <c r="R774" i="5"/>
  <c r="E798" i="5"/>
  <c r="X798" i="5" s="1"/>
  <c r="E774" i="5"/>
  <c r="X774" i="5" s="1"/>
  <c r="R402" i="5"/>
  <c r="H2316" i="5"/>
  <c r="F798" i="5"/>
  <c r="F774" i="5"/>
  <c r="E402" i="5"/>
  <c r="F2362" i="5"/>
  <c r="G2316" i="5"/>
  <c r="H798" i="5"/>
  <c r="H774" i="5"/>
  <c r="J390" i="5"/>
  <c r="H2362" i="5"/>
  <c r="I2316" i="5"/>
  <c r="F1785" i="5"/>
  <c r="F941" i="5"/>
  <c r="I798" i="5"/>
  <c r="I774" i="5"/>
  <c r="E2015" i="5"/>
  <c r="X2015" i="5" s="1"/>
  <c r="J2015" i="5"/>
  <c r="J1723" i="5"/>
  <c r="E1683" i="5"/>
  <c r="X1683" i="5" s="1"/>
  <c r="H1433" i="5"/>
  <c r="I1307" i="5"/>
  <c r="F1271" i="5"/>
  <c r="J601" i="5"/>
  <c r="T601" i="5" s="1"/>
  <c r="J2076" i="5"/>
  <c r="I2076" i="5"/>
  <c r="J1672" i="5"/>
  <c r="E1715" i="5"/>
  <c r="X1715" i="5" s="1"/>
  <c r="R1402" i="5"/>
  <c r="R1307" i="5"/>
  <c r="G1271" i="5"/>
  <c r="H601" i="5"/>
  <c r="E2256" i="5"/>
  <c r="X2256" i="5" s="1"/>
  <c r="I1769" i="5"/>
  <c r="R1632" i="5"/>
  <c r="I1271" i="5"/>
  <c r="R890" i="5"/>
  <c r="E1066" i="5"/>
  <c r="X1066" i="5" s="1"/>
  <c r="R2076" i="5"/>
  <c r="J1769" i="5"/>
  <c r="R1672" i="5"/>
  <c r="J1433" i="5"/>
  <c r="J1271" i="5"/>
  <c r="R2256" i="5"/>
  <c r="F1525" i="5"/>
  <c r="R1122" i="5"/>
  <c r="R1271" i="5"/>
  <c r="I601" i="5"/>
  <c r="F1672" i="5"/>
  <c r="J2317" i="5"/>
  <c r="H1463" i="5"/>
  <c r="I1525" i="5"/>
  <c r="H1672" i="5"/>
  <c r="R2317" i="5"/>
  <c r="H2042" i="5"/>
  <c r="J1632" i="5"/>
  <c r="J1525" i="5"/>
  <c r="E1433" i="5"/>
  <c r="X1433" i="5" s="1"/>
  <c r="E601" i="5"/>
  <c r="E1672" i="5"/>
  <c r="X1672" i="5" s="1"/>
  <c r="F1050" i="5"/>
  <c r="F671" i="5"/>
  <c r="G1384" i="5"/>
  <c r="R1723" i="5"/>
  <c r="F1679" i="5"/>
  <c r="H1671" i="5"/>
  <c r="E1324" i="5"/>
  <c r="X1324" i="5" s="1"/>
  <c r="J1223" i="5"/>
  <c r="J695" i="5"/>
  <c r="I1324" i="5"/>
  <c r="F1680" i="5"/>
  <c r="H1699" i="5"/>
  <c r="E1723" i="5"/>
  <c r="X1723" i="5" s="1"/>
  <c r="G1679" i="5"/>
  <c r="F1312" i="5"/>
  <c r="G1680" i="5"/>
  <c r="F2292" i="5"/>
  <c r="I1699" i="5"/>
  <c r="F1608" i="5"/>
  <c r="H1679" i="5"/>
  <c r="E695" i="5"/>
  <c r="X695" i="5" s="1"/>
  <c r="I1680" i="5"/>
  <c r="I1312" i="5"/>
  <c r="H1680" i="5"/>
  <c r="H2292" i="5"/>
  <c r="F1935" i="5"/>
  <c r="J1699" i="5"/>
  <c r="J1608" i="5"/>
  <c r="R1711" i="5"/>
  <c r="I1679" i="5"/>
  <c r="R1312" i="5"/>
  <c r="H1312" i="5"/>
  <c r="R761" i="5"/>
  <c r="G695" i="5"/>
  <c r="I2292" i="5"/>
  <c r="R1696" i="5"/>
  <c r="J1692" i="5"/>
  <c r="R1608" i="5"/>
  <c r="E1711" i="5"/>
  <c r="X1711" i="5" s="1"/>
  <c r="J1679" i="5"/>
  <c r="E1312" i="5"/>
  <c r="X1312" i="5" s="1"/>
  <c r="F1223" i="5"/>
  <c r="H647" i="5"/>
  <c r="R418" i="5"/>
  <c r="E2292" i="5"/>
  <c r="X2292" i="5" s="1"/>
  <c r="R2292" i="5"/>
  <c r="R1692" i="5"/>
  <c r="H1723" i="5"/>
  <c r="R1679" i="5"/>
  <c r="H1223" i="5"/>
  <c r="I695" i="5"/>
  <c r="H695" i="5"/>
  <c r="J418" i="5"/>
  <c r="H2288" i="5"/>
  <c r="I1723" i="5"/>
  <c r="H1324" i="5"/>
  <c r="R1223" i="5"/>
  <c r="I647" i="5"/>
  <c r="H418" i="5"/>
  <c r="J2479" i="5"/>
  <c r="J2231" i="5"/>
  <c r="J1640" i="5"/>
  <c r="I1507" i="5"/>
  <c r="E1296" i="5"/>
  <c r="X1296" i="5" s="1"/>
  <c r="H1221" i="5"/>
  <c r="I1109" i="5"/>
  <c r="E495" i="5"/>
  <c r="I1139" i="5"/>
  <c r="I1232" i="5"/>
  <c r="H2479" i="5"/>
  <c r="G2231" i="5"/>
  <c r="H1858" i="5"/>
  <c r="I1753" i="5"/>
  <c r="R1640" i="5"/>
  <c r="J1109" i="5"/>
  <c r="I631" i="5"/>
  <c r="R1232" i="5"/>
  <c r="R2479" i="5"/>
  <c r="R2309" i="5"/>
  <c r="J1858" i="5"/>
  <c r="E1753" i="5"/>
  <c r="X1753" i="5" s="1"/>
  <c r="R1643" i="5"/>
  <c r="R1252" i="5"/>
  <c r="H1252" i="5"/>
  <c r="H1232" i="5"/>
  <c r="I595" i="5"/>
  <c r="R446" i="5"/>
  <c r="G1232" i="5"/>
  <c r="E2309" i="5"/>
  <c r="X2309" i="5" s="1"/>
  <c r="F2091" i="5"/>
  <c r="R1858" i="5"/>
  <c r="E1252" i="5"/>
  <c r="X1252" i="5" s="1"/>
  <c r="G835" i="5"/>
  <c r="H414" i="5"/>
  <c r="H394" i="5"/>
  <c r="E2479" i="5"/>
  <c r="X2479" i="5" s="1"/>
  <c r="F1858" i="5"/>
  <c r="E1858" i="5"/>
  <c r="X1858" i="5" s="1"/>
  <c r="E1667" i="5"/>
  <c r="X1667" i="5" s="1"/>
  <c r="E1507" i="5"/>
  <c r="X1507" i="5" s="1"/>
  <c r="E1221" i="5"/>
  <c r="X1221" i="5" s="1"/>
  <c r="R1085" i="5"/>
  <c r="I835" i="5"/>
  <c r="H595" i="5"/>
  <c r="R414" i="5"/>
  <c r="J446" i="5"/>
  <c r="J394" i="5"/>
  <c r="F2479" i="5"/>
  <c r="E2385" i="5"/>
  <c r="X2385" i="5" s="1"/>
  <c r="J2163" i="5"/>
  <c r="R1652" i="5"/>
  <c r="J1652" i="5"/>
  <c r="F1507" i="5"/>
  <c r="F1221" i="5"/>
  <c r="H1296" i="5"/>
  <c r="G1109" i="5"/>
  <c r="F835" i="5"/>
  <c r="R835" i="5"/>
  <c r="R394" i="5"/>
  <c r="I495" i="5"/>
  <c r="E394" i="5"/>
  <c r="F1232" i="5"/>
  <c r="E1899" i="5"/>
  <c r="X1899" i="5" s="1"/>
  <c r="J1724" i="5"/>
  <c r="H1715" i="5"/>
  <c r="F1402" i="5"/>
  <c r="E1380" i="5"/>
  <c r="X1380" i="5" s="1"/>
  <c r="E1328" i="5"/>
  <c r="X1328" i="5" s="1"/>
  <c r="I1094" i="5"/>
  <c r="E970" i="5"/>
  <c r="X970" i="5" s="1"/>
  <c r="E2212" i="5"/>
  <c r="X2212" i="5" s="1"/>
  <c r="E1632" i="5"/>
  <c r="X1632" i="5" s="1"/>
  <c r="R807" i="5"/>
  <c r="J2132" i="5"/>
  <c r="J2160" i="5"/>
  <c r="E1918" i="5"/>
  <c r="X1918" i="5" s="1"/>
  <c r="I1715" i="5"/>
  <c r="H1425" i="5"/>
  <c r="H1328" i="5"/>
  <c r="I607" i="5"/>
  <c r="F807" i="5"/>
  <c r="J313" i="5"/>
  <c r="T313" i="5" s="1"/>
  <c r="R2132" i="5"/>
  <c r="R2160" i="5"/>
  <c r="F1918" i="5"/>
  <c r="J1715" i="5"/>
  <c r="E1402" i="5"/>
  <c r="X1402" i="5" s="1"/>
  <c r="R1066" i="5"/>
  <c r="E1307" i="5"/>
  <c r="X1307" i="5" s="1"/>
  <c r="J1144" i="5"/>
  <c r="G749" i="5"/>
  <c r="H882" i="5"/>
  <c r="H446" i="5"/>
  <c r="I807" i="5"/>
  <c r="E2132" i="5"/>
  <c r="X2132" i="5" s="1"/>
  <c r="H1899" i="5"/>
  <c r="I1918" i="5"/>
  <c r="R1715" i="5"/>
  <c r="H1683" i="5"/>
  <c r="R1284" i="5"/>
  <c r="F1307" i="5"/>
  <c r="F882" i="5"/>
  <c r="E313" i="5"/>
  <c r="I1402" i="5"/>
  <c r="H1918" i="5"/>
  <c r="I1683" i="5"/>
  <c r="E1284" i="5"/>
  <c r="X1284" i="5" s="1"/>
  <c r="I1122" i="5"/>
  <c r="I1066" i="5"/>
  <c r="G1307" i="5"/>
  <c r="I882" i="5"/>
  <c r="F313" i="5"/>
  <c r="R882" i="5"/>
  <c r="E782" i="5"/>
  <c r="X782" i="5" s="1"/>
  <c r="F1899" i="5"/>
  <c r="R1918" i="5"/>
  <c r="R1724" i="5"/>
  <c r="R1683" i="5"/>
  <c r="E1525" i="5"/>
  <c r="X1525" i="5" s="1"/>
  <c r="J1307" i="5"/>
  <c r="J2180" i="5"/>
  <c r="H2163" i="5"/>
  <c r="R2183" i="5"/>
  <c r="J1667" i="5"/>
  <c r="R1659" i="5"/>
  <c r="E1687" i="5"/>
  <c r="X1687" i="5" s="1"/>
  <c r="H1651" i="5"/>
  <c r="I1643" i="5"/>
  <c r="H941" i="5"/>
  <c r="G719" i="5"/>
  <c r="G679" i="5"/>
  <c r="E523" i="5"/>
  <c r="I719" i="5"/>
  <c r="R2180" i="5"/>
  <c r="I2163" i="5"/>
  <c r="E2011" i="5"/>
  <c r="X2011" i="5" s="1"/>
  <c r="E2091" i="5"/>
  <c r="X2091" i="5" s="1"/>
  <c r="R1667" i="5"/>
  <c r="G1707" i="5"/>
  <c r="F1707" i="5"/>
  <c r="E1659" i="5"/>
  <c r="X1659" i="5" s="1"/>
  <c r="I1651" i="5"/>
  <c r="J1643" i="5"/>
  <c r="E941" i="5"/>
  <c r="X941" i="5" s="1"/>
  <c r="E766" i="5"/>
  <c r="X766" i="5" s="1"/>
  <c r="H390" i="5"/>
  <c r="J719" i="5"/>
  <c r="J2453" i="5"/>
  <c r="F2214" i="5"/>
  <c r="E2214" i="5"/>
  <c r="X2214" i="5" s="1"/>
  <c r="E2183" i="5"/>
  <c r="X2183" i="5" s="1"/>
  <c r="R2163" i="5"/>
  <c r="I2042" i="5"/>
  <c r="G2091" i="5"/>
  <c r="R1656" i="5"/>
  <c r="R1651" i="5"/>
  <c r="H1707" i="5"/>
  <c r="E1643" i="5"/>
  <c r="X1643" i="5" s="1"/>
  <c r="I941" i="5"/>
  <c r="H766" i="5"/>
  <c r="J679" i="5"/>
  <c r="H719" i="5"/>
  <c r="I679" i="5"/>
  <c r="E679" i="5"/>
  <c r="X679" i="5" s="1"/>
  <c r="R390" i="5"/>
  <c r="F2011" i="5"/>
  <c r="R2453" i="5"/>
  <c r="H2214" i="5"/>
  <c r="J2042" i="5"/>
  <c r="H2091" i="5"/>
  <c r="H1687" i="5"/>
  <c r="E1651" i="5"/>
  <c r="X1651" i="5" s="1"/>
  <c r="I1707" i="5"/>
  <c r="R941" i="5"/>
  <c r="I766" i="5"/>
  <c r="R719" i="5"/>
  <c r="E390" i="5"/>
  <c r="F2252" i="5"/>
  <c r="E2252" i="5"/>
  <c r="X2252" i="5" s="1"/>
  <c r="J2196" i="5"/>
  <c r="H2183" i="5"/>
  <c r="R2011" i="5"/>
  <c r="R2042" i="5"/>
  <c r="I2091" i="5"/>
  <c r="H1659" i="5"/>
  <c r="F1643" i="5"/>
  <c r="I1687" i="5"/>
  <c r="F1667" i="5"/>
  <c r="J1707" i="5"/>
  <c r="J766" i="5"/>
  <c r="H599" i="5"/>
  <c r="R2196" i="5"/>
  <c r="I2183" i="5"/>
  <c r="E2042" i="5"/>
  <c r="X2042" i="5" s="1"/>
  <c r="J2091" i="5"/>
  <c r="J1656" i="5"/>
  <c r="H1667" i="5"/>
  <c r="G1643" i="5"/>
  <c r="I1659" i="5"/>
  <c r="J1687" i="5"/>
  <c r="R1707" i="5"/>
  <c r="G941" i="5"/>
  <c r="J643" i="5"/>
  <c r="J2183" i="5"/>
  <c r="I1667" i="5"/>
  <c r="J1659" i="5"/>
  <c r="R1687" i="5"/>
  <c r="H679" i="5"/>
  <c r="F679" i="5"/>
  <c r="E2196" i="5"/>
  <c r="X2196" i="5" s="1"/>
  <c r="E2408" i="5"/>
  <c r="X2408" i="5" s="1"/>
  <c r="I2115" i="5"/>
  <c r="R1773" i="5"/>
  <c r="R1139" i="5"/>
  <c r="H868" i="5"/>
  <c r="G868" i="5"/>
  <c r="E851" i="5"/>
  <c r="X851" i="5" s="1"/>
  <c r="R753" i="5"/>
  <c r="J438" i="5"/>
  <c r="J410" i="5"/>
  <c r="J292" i="5"/>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G2042" i="5"/>
  <c r="H1085" i="5"/>
  <c r="R868" i="5"/>
  <c r="J591" i="5"/>
  <c r="I2416" i="5"/>
  <c r="H1841" i="5"/>
  <c r="R1854" i="5"/>
  <c r="E1810" i="5"/>
  <c r="X1810" i="5" s="1"/>
  <c r="H1316" i="5"/>
  <c r="G1085" i="5"/>
  <c r="I978" i="5"/>
  <c r="E868" i="5"/>
  <c r="X868" i="5" s="1"/>
  <c r="F887" i="5"/>
  <c r="R729" i="5"/>
  <c r="E737" i="5"/>
  <c r="X737" i="5" s="1"/>
  <c r="F523" i="5"/>
  <c r="F1139" i="5"/>
  <c r="J579" i="5"/>
  <c r="E591" i="5"/>
  <c r="I1841" i="5"/>
  <c r="E1854" i="5"/>
  <c r="X1854" i="5" s="1"/>
  <c r="R1810" i="5"/>
  <c r="G1773" i="5"/>
  <c r="F1470" i="5"/>
  <c r="R1316" i="5"/>
  <c r="I1085" i="5"/>
  <c r="I868" i="5"/>
  <c r="G851" i="5"/>
  <c r="H729" i="5"/>
  <c r="H591" i="5"/>
  <c r="R410" i="5"/>
  <c r="H438" i="5"/>
  <c r="H410" i="5"/>
  <c r="E329" i="5"/>
  <c r="I729" i="5"/>
  <c r="J1841" i="5"/>
  <c r="H1695" i="5"/>
  <c r="E1316" i="5"/>
  <c r="X1316" i="5" s="1"/>
  <c r="J1085" i="5"/>
  <c r="I523" i="5"/>
  <c r="R438" i="5"/>
  <c r="I292" i="5"/>
  <c r="G2341" i="5"/>
  <c r="B30" i="6"/>
  <c r="G30" i="6" s="1"/>
  <c r="B41" i="6"/>
  <c r="G41" i="6" s="1"/>
  <c r="B31" i="6"/>
  <c r="G31" i="6" s="1"/>
  <c r="J305" i="5"/>
  <c r="G643" i="5"/>
  <c r="E280" i="5"/>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E2324" i="5"/>
  <c r="X2324" i="5" s="1"/>
  <c r="H2011" i="5"/>
  <c r="F639" i="5"/>
  <c r="E555"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G2412" i="5"/>
  <c r="E2300" i="5"/>
  <c r="X2300" i="5" s="1"/>
  <c r="G1935" i="5"/>
  <c r="I1800" i="5"/>
  <c r="J1663" i="5"/>
  <c r="I1711" i="5"/>
  <c r="E1493" i="5"/>
  <c r="X1493" i="5" s="1"/>
  <c r="E1189" i="5"/>
  <c r="X1189" i="5" s="1"/>
  <c r="J1351" i="5"/>
  <c r="I1291" i="5"/>
  <c r="R874" i="5"/>
  <c r="G711" i="5"/>
  <c r="R737" i="5"/>
  <c r="E748" i="5"/>
  <c r="X748" i="5" s="1"/>
  <c r="I716" i="5"/>
  <c r="R717" i="5"/>
  <c r="F756" i="5"/>
  <c r="I305" i="5"/>
  <c r="E1509" i="5"/>
  <c r="X1509" i="5" s="1"/>
  <c r="F1189" i="5"/>
  <c r="I982" i="5"/>
  <c r="J1291" i="5"/>
  <c r="G973" i="5"/>
  <c r="E973" i="5"/>
  <c r="X973" i="5" s="1"/>
  <c r="F748" i="5"/>
  <c r="J716" i="5"/>
  <c r="H639" i="5"/>
  <c r="H587" i="5"/>
  <c r="R434" i="5"/>
  <c r="H430" i="5"/>
  <c r="I280"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G2380" i="5"/>
  <c r="J1526" i="5"/>
  <c r="I1526" i="5"/>
  <c r="H1526" i="5"/>
  <c r="E1526" i="5"/>
  <c r="X1526" i="5" s="1"/>
  <c r="F591" i="5"/>
  <c r="R591" i="5"/>
  <c r="I2385" i="5"/>
  <c r="H2404" i="5"/>
  <c r="H2179" i="5"/>
  <c r="R2099" i="5"/>
  <c r="R1939" i="5"/>
  <c r="G1760" i="5"/>
  <c r="R1866" i="5"/>
  <c r="J1192" i="5"/>
  <c r="G1303" i="5"/>
  <c r="F1144" i="5"/>
  <c r="F866" i="5"/>
  <c r="J302" i="5"/>
  <c r="H1939" i="5"/>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F2380" i="5"/>
  <c r="E2404" i="5"/>
  <c r="X2404" i="5" s="1"/>
  <c r="J2385" i="5"/>
  <c r="R2179" i="5"/>
  <c r="H2159" i="5"/>
  <c r="F2099" i="5"/>
  <c r="R1951" i="5"/>
  <c r="H2034" i="5"/>
  <c r="F1866" i="5"/>
  <c r="R1785" i="5"/>
  <c r="R1130" i="5"/>
  <c r="R1303" i="5"/>
  <c r="I970" i="5"/>
  <c r="F1073" i="5"/>
  <c r="F970" i="5"/>
  <c r="I816" i="5"/>
  <c r="I329" i="5"/>
  <c r="J378" i="5"/>
  <c r="I302" i="5"/>
  <c r="G573" i="5"/>
  <c r="G1664" i="5"/>
  <c r="R2385" i="5"/>
  <c r="I2159" i="5"/>
  <c r="E1951" i="5"/>
  <c r="X1951" i="5" s="1"/>
  <c r="I2034" i="5"/>
  <c r="E1785" i="5"/>
  <c r="X1785" i="5" s="1"/>
  <c r="I1470" i="5"/>
  <c r="R1470" i="5"/>
  <c r="R970" i="5"/>
  <c r="H1144" i="5"/>
  <c r="H970" i="5"/>
  <c r="J816" i="5"/>
  <c r="R816" i="5"/>
  <c r="F302" i="5"/>
  <c r="G970" i="5"/>
  <c r="G2288" i="5"/>
  <c r="G591" i="5"/>
  <c r="R1054" i="5"/>
  <c r="I890" i="5"/>
  <c r="H866" i="5"/>
  <c r="G914" i="5"/>
  <c r="G773" i="5"/>
  <c r="R711" i="5"/>
  <c r="R426"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807" i="5"/>
  <c r="J807" i="5"/>
  <c r="E807" i="5"/>
  <c r="X807" i="5" s="1"/>
  <c r="E643" i="5"/>
  <c r="X643" i="5" s="1"/>
  <c r="F643" i="5"/>
  <c r="I2264" i="5"/>
  <c r="R2264" i="5"/>
  <c r="J2264" i="5"/>
  <c r="E607" i="5"/>
  <c r="F607" i="5"/>
  <c r="J1137" i="5"/>
  <c r="E890" i="5"/>
  <c r="X890" i="5" s="1"/>
  <c r="I866" i="5"/>
  <c r="R914" i="5"/>
  <c r="R709" i="5"/>
  <c r="H663" i="5"/>
  <c r="H607" i="5"/>
  <c r="H406" i="5"/>
  <c r="I2214" i="5"/>
  <c r="J2214" i="5"/>
  <c r="G2264" i="5"/>
  <c r="J1197" i="5"/>
  <c r="R1197" i="5"/>
  <c r="I1197" i="5"/>
  <c r="H1197" i="5"/>
  <c r="E986" i="5"/>
  <c r="X986" i="5" s="1"/>
  <c r="F986" i="5"/>
  <c r="H850" i="5"/>
  <c r="F850" i="5"/>
  <c r="R1106" i="5"/>
  <c r="G930" i="5"/>
  <c r="F930" i="5"/>
  <c r="I930" i="5"/>
  <c r="I1137" i="5"/>
  <c r="R866" i="5"/>
  <c r="E914" i="5"/>
  <c r="X914" i="5" s="1"/>
  <c r="G709" i="5"/>
  <c r="I711" i="5"/>
  <c r="E678" i="5"/>
  <c r="X678" i="5" s="1"/>
  <c r="H709" i="5"/>
  <c r="J406" i="5"/>
  <c r="G2159" i="5"/>
  <c r="G1769" i="5"/>
  <c r="G1672" i="5"/>
  <c r="H1525" i="5"/>
  <c r="R1525" i="5"/>
  <c r="G1312" i="5"/>
  <c r="E579" i="5"/>
  <c r="F579" i="5"/>
  <c r="H835" i="5"/>
  <c r="J835" i="5"/>
  <c r="R1157" i="5"/>
  <c r="J1157" i="5"/>
  <c r="I1157" i="5"/>
  <c r="R930" i="5"/>
  <c r="R1137" i="5"/>
  <c r="E866" i="5"/>
  <c r="X866" i="5" s="1"/>
  <c r="G890" i="5"/>
  <c r="G866" i="5"/>
  <c r="I678" i="5"/>
  <c r="J426" i="5"/>
  <c r="F2264" i="5"/>
  <c r="E2264" i="5"/>
  <c r="X2264" i="5" s="1"/>
  <c r="I2198" i="5"/>
  <c r="R2198" i="5"/>
  <c r="J2198" i="5"/>
  <c r="E1050" i="5"/>
  <c r="X1050" i="5" s="1"/>
  <c r="H1050" i="5"/>
  <c r="G1066" i="5"/>
  <c r="R577" i="5"/>
  <c r="F577" i="5"/>
  <c r="R305" i="5"/>
  <c r="H305" i="5"/>
  <c r="G462" i="5"/>
  <c r="J1760" i="5"/>
  <c r="I1509" i="5"/>
  <c r="E1463" i="5"/>
  <c r="X1463" i="5" s="1"/>
  <c r="F1137" i="5"/>
  <c r="F890" i="5"/>
  <c r="H2264" i="5"/>
  <c r="F973" i="5"/>
  <c r="I2396" i="5"/>
  <c r="F2396" i="5"/>
  <c r="I2252" i="5"/>
  <c r="R2252" i="5"/>
  <c r="J2252" i="5"/>
  <c r="H2252" i="5"/>
  <c r="G2198" i="5"/>
  <c r="I2256" i="5"/>
  <c r="J2256" i="5"/>
  <c r="J1402" i="5"/>
  <c r="H1402" i="5"/>
  <c r="G1491" i="5"/>
  <c r="R313" i="5"/>
  <c r="H313"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I390" i="5"/>
  <c r="F390" i="5"/>
  <c r="F914" i="5"/>
  <c r="H711" i="5"/>
  <c r="H426" i="5"/>
  <c r="I2212" i="5"/>
  <c r="R2212" i="5"/>
  <c r="J2212" i="5"/>
  <c r="H2212" i="5"/>
  <c r="F2212" i="5"/>
  <c r="J2380" i="5"/>
  <c r="I2380" i="5"/>
  <c r="E2380" i="5"/>
  <c r="X2380" i="5" s="1"/>
  <c r="J1308" i="5"/>
  <c r="I1308" i="5"/>
  <c r="J1324" i="5"/>
  <c r="F1324"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I442" i="5"/>
  <c r="F44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J575" i="5"/>
  <c r="F575" i="5"/>
  <c r="R575" i="5"/>
  <c r="E422" i="5"/>
  <c r="I422" i="5"/>
  <c r="F422" i="5"/>
  <c r="F378" i="5"/>
  <c r="I378" i="5"/>
  <c r="R296" i="5"/>
  <c r="F296" i="5"/>
  <c r="E296" i="5"/>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R595" i="5"/>
  <c r="J595" i="5"/>
  <c r="F595" i="5"/>
  <c r="I364" i="5"/>
  <c r="H364" i="5"/>
  <c r="F364" i="5"/>
  <c r="E364" i="5"/>
  <c r="R364" i="5"/>
  <c r="J364" i="5"/>
  <c r="R716" i="5"/>
  <c r="H716" i="5"/>
  <c r="R292" i="5"/>
  <c r="F292" i="5"/>
  <c r="E292" i="5"/>
  <c r="J333" i="5"/>
  <c r="H333" i="5"/>
  <c r="E333" i="5"/>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I446" i="5"/>
  <c r="F446" i="5"/>
  <c r="E414" i="5"/>
  <c r="I414" i="5"/>
  <c r="F414" i="5"/>
  <c r="I751" i="5"/>
  <c r="F751" i="5"/>
  <c r="R601" i="5"/>
  <c r="F601" i="5"/>
  <c r="E599" i="5"/>
  <c r="R599" i="5"/>
  <c r="J599" i="5"/>
  <c r="T599" i="5" s="1"/>
  <c r="F599" i="5"/>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I406" i="5"/>
  <c r="F406" i="5"/>
  <c r="H286" i="5"/>
  <c r="R286" i="5"/>
  <c r="J286" i="5"/>
  <c r="I286" i="5"/>
  <c r="F286" i="5"/>
  <c r="E286" i="5"/>
  <c r="G422" i="5"/>
  <c r="E434" i="5"/>
  <c r="I434" i="5"/>
  <c r="F434" i="5"/>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J587" i="5"/>
  <c r="F587" i="5"/>
  <c r="R587" i="5"/>
  <c r="J649" i="5"/>
  <c r="R649" i="5"/>
  <c r="F649" i="5"/>
  <c r="I669" i="5"/>
  <c r="R669" i="5"/>
  <c r="J669" i="5"/>
  <c r="F669" i="5"/>
  <c r="E669" i="5"/>
  <c r="X669" i="5" s="1"/>
  <c r="E471" i="5"/>
  <c r="J471" i="5"/>
  <c r="H471" i="5"/>
  <c r="F471" i="5"/>
  <c r="R471" i="5"/>
  <c r="G471" i="5"/>
  <c r="E438" i="5"/>
  <c r="I438" i="5"/>
  <c r="F438" i="5"/>
  <c r="R304" i="5"/>
  <c r="J304" i="5"/>
  <c r="I304" i="5"/>
  <c r="H304" i="5"/>
  <c r="E304" i="5"/>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I418" i="5"/>
  <c r="F418" i="5"/>
  <c r="I394" i="5"/>
  <c r="F394" i="5"/>
  <c r="E410" i="5"/>
  <c r="I410" i="5"/>
  <c r="F41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G813" i="5"/>
  <c r="G575" i="5"/>
  <c r="E430" i="5"/>
  <c r="I430" i="5"/>
  <c r="F430" i="5"/>
  <c r="E426" i="5"/>
  <c r="I426" i="5"/>
  <c r="F426" i="5"/>
  <c r="G442" i="5"/>
  <c r="G378" i="5"/>
  <c r="F26" i="6"/>
  <c r="F36" i="6" s="1"/>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R604" i="5"/>
  <c r="J604" i="5"/>
  <c r="T604" i="5" s="1"/>
  <c r="E594" i="5"/>
  <c r="R594" i="5"/>
  <c r="J594" i="5"/>
  <c r="F594" i="5"/>
  <c r="I594" i="5"/>
  <c r="H594" i="5"/>
  <c r="R582" i="5"/>
  <c r="J582" i="5"/>
  <c r="F582" i="5"/>
  <c r="I582" i="5"/>
  <c r="H582" i="5"/>
  <c r="E582" i="5"/>
  <c r="R566" i="5"/>
  <c r="J566" i="5"/>
  <c r="F566" i="5"/>
  <c r="I566" i="5"/>
  <c r="H566" i="5"/>
  <c r="E566" i="5"/>
  <c r="F528" i="5"/>
  <c r="R528" i="5"/>
  <c r="J528" i="5"/>
  <c r="I528" i="5"/>
  <c r="H528" i="5"/>
  <c r="E528" i="5"/>
  <c r="I485" i="5"/>
  <c r="H485" i="5"/>
  <c r="E485" i="5"/>
  <c r="F485" i="5"/>
  <c r="R485" i="5"/>
  <c r="J485" i="5"/>
  <c r="R466" i="5"/>
  <c r="J466" i="5"/>
  <c r="G466" i="5"/>
  <c r="F466" i="5"/>
  <c r="E466" i="5"/>
  <c r="I466" i="5"/>
  <c r="H466" i="5"/>
  <c r="F520" i="5"/>
  <c r="R520" i="5"/>
  <c r="J520" i="5"/>
  <c r="I520" i="5"/>
  <c r="H520" i="5"/>
  <c r="E520" i="5"/>
  <c r="F468" i="5"/>
  <c r="J468" i="5"/>
  <c r="I468" i="5"/>
  <c r="H468" i="5"/>
  <c r="E468" i="5"/>
  <c r="R468" i="5"/>
  <c r="F540" i="5"/>
  <c r="R540" i="5"/>
  <c r="J540" i="5"/>
  <c r="I540" i="5"/>
  <c r="H540" i="5"/>
  <c r="E540" i="5"/>
  <c r="F508" i="5"/>
  <c r="R508" i="5"/>
  <c r="J508" i="5"/>
  <c r="I508" i="5"/>
  <c r="H508" i="5"/>
  <c r="E508" i="5"/>
  <c r="I465" i="5"/>
  <c r="H465" i="5"/>
  <c r="R465" i="5"/>
  <c r="J465" i="5"/>
  <c r="F465" i="5"/>
  <c r="E465" i="5"/>
  <c r="R377" i="5"/>
  <c r="I377" i="5"/>
  <c r="H377" i="5"/>
  <c r="F377" i="5"/>
  <c r="G377" i="5"/>
  <c r="J377" i="5"/>
  <c r="E377" i="5"/>
  <c r="E339" i="5"/>
  <c r="J339" i="5"/>
  <c r="R339" i="5"/>
  <c r="I339" i="5"/>
  <c r="H339" i="5"/>
  <c r="F339" i="5"/>
  <c r="R393" i="5"/>
  <c r="J393" i="5"/>
  <c r="I393" i="5"/>
  <c r="H393" i="5"/>
  <c r="F393" i="5"/>
  <c r="E393" i="5"/>
  <c r="G393" i="5"/>
  <c r="R373" i="5"/>
  <c r="I373" i="5"/>
  <c r="H373" i="5"/>
  <c r="F373" i="5"/>
  <c r="J373" i="5"/>
  <c r="G373" i="5"/>
  <c r="E373" i="5"/>
  <c r="E354" i="5"/>
  <c r="R354" i="5"/>
  <c r="J354" i="5"/>
  <c r="H354" i="5"/>
  <c r="F354" i="5"/>
  <c r="I354" i="5"/>
  <c r="E323" i="5"/>
  <c r="J323" i="5"/>
  <c r="R323" i="5"/>
  <c r="H323" i="5"/>
  <c r="G323" i="5"/>
  <c r="F323" i="5"/>
  <c r="I323" i="5"/>
  <c r="J299" i="5"/>
  <c r="I299" i="5"/>
  <c r="H299" i="5"/>
  <c r="F299" i="5"/>
  <c r="E299" i="5"/>
  <c r="R299" i="5"/>
  <c r="J291" i="5"/>
  <c r="I291" i="5"/>
  <c r="H291" i="5"/>
  <c r="F291" i="5"/>
  <c r="E291" i="5"/>
  <c r="R291" i="5"/>
  <c r="J283" i="5"/>
  <c r="I283" i="5"/>
  <c r="H283" i="5"/>
  <c r="F283" i="5"/>
  <c r="E283" i="5"/>
  <c r="R283" i="5"/>
  <c r="R401" i="5"/>
  <c r="J401" i="5"/>
  <c r="I401" i="5"/>
  <c r="H401" i="5"/>
  <c r="F401" i="5"/>
  <c r="E401" i="5"/>
  <c r="G35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R600" i="5"/>
  <c r="J600" i="5"/>
  <c r="T600" i="5" s="1"/>
  <c r="G594" i="5"/>
  <c r="G582" i="5"/>
  <c r="G566" i="5"/>
  <c r="E590" i="5"/>
  <c r="R590" i="5"/>
  <c r="J590" i="5"/>
  <c r="F590" i="5"/>
  <c r="I590" i="5"/>
  <c r="H590" i="5"/>
  <c r="H576" i="5"/>
  <c r="F576" i="5"/>
  <c r="R576" i="5"/>
  <c r="J576" i="5"/>
  <c r="E576" i="5"/>
  <c r="I576" i="5"/>
  <c r="I533" i="5"/>
  <c r="H533" i="5"/>
  <c r="E533" i="5"/>
  <c r="F533" i="5"/>
  <c r="R533" i="5"/>
  <c r="J533" i="5"/>
  <c r="F536" i="5"/>
  <c r="R536" i="5"/>
  <c r="J536" i="5"/>
  <c r="I536" i="5"/>
  <c r="H536" i="5"/>
  <c r="E536" i="5"/>
  <c r="I537" i="5"/>
  <c r="H537" i="5"/>
  <c r="E537" i="5"/>
  <c r="J537" i="5"/>
  <c r="G537" i="5"/>
  <c r="F537" i="5"/>
  <c r="R537" i="5"/>
  <c r="I521" i="5"/>
  <c r="H521" i="5"/>
  <c r="E521" i="5"/>
  <c r="J521" i="5"/>
  <c r="G521" i="5"/>
  <c r="F521" i="5"/>
  <c r="R521" i="5"/>
  <c r="I505" i="5"/>
  <c r="H505" i="5"/>
  <c r="E505" i="5"/>
  <c r="J505" i="5"/>
  <c r="G505" i="5"/>
  <c r="F505" i="5"/>
  <c r="R505" i="5"/>
  <c r="I489" i="5"/>
  <c r="H489" i="5"/>
  <c r="E489" i="5"/>
  <c r="J489" i="5"/>
  <c r="G489" i="5"/>
  <c r="F489" i="5"/>
  <c r="R489" i="5"/>
  <c r="R397" i="5"/>
  <c r="J397" i="5"/>
  <c r="I397" i="5"/>
  <c r="H397" i="5"/>
  <c r="F397" i="5"/>
  <c r="G397" i="5"/>
  <c r="E397" i="5"/>
  <c r="R361" i="5"/>
  <c r="I361" i="5"/>
  <c r="H361" i="5"/>
  <c r="F361" i="5"/>
  <c r="J361" i="5"/>
  <c r="G361" i="5"/>
  <c r="E361" i="5"/>
  <c r="E327" i="5"/>
  <c r="J327" i="5"/>
  <c r="F327" i="5"/>
  <c r="R327" i="5"/>
  <c r="I327" i="5"/>
  <c r="H327" i="5"/>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R610" i="5"/>
  <c r="J610" i="5"/>
  <c r="T610" i="5" s="1"/>
  <c r="I610" i="5"/>
  <c r="H610" i="5"/>
  <c r="F610" i="5"/>
  <c r="I501" i="5"/>
  <c r="H501" i="5"/>
  <c r="E501" i="5"/>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F517" i="5"/>
  <c r="R517" i="5"/>
  <c r="J517" i="5"/>
  <c r="F492" i="5"/>
  <c r="R492" i="5"/>
  <c r="J492" i="5"/>
  <c r="I492" i="5"/>
  <c r="H492" i="5"/>
  <c r="E492" i="5"/>
  <c r="G501" i="5"/>
  <c r="E441" i="5"/>
  <c r="R441" i="5"/>
  <c r="J441" i="5"/>
  <c r="I441" i="5"/>
  <c r="H441" i="5"/>
  <c r="G441" i="5"/>
  <c r="F441" i="5"/>
  <c r="R409" i="5"/>
  <c r="J409" i="5"/>
  <c r="I409" i="5"/>
  <c r="H409" i="5"/>
  <c r="F409" i="5"/>
  <c r="G409" i="5"/>
  <c r="E409" i="5"/>
  <c r="A25" i="6"/>
  <c r="B57" i="4"/>
  <c r="A40" i="6" s="1"/>
  <c r="B51" i="4"/>
  <c r="A35" i="6" s="1"/>
  <c r="B69" i="4"/>
  <c r="A50" i="6" s="1"/>
  <c r="B63" i="4"/>
  <c r="A45" i="6" s="1"/>
  <c r="J2478" i="5"/>
  <c r="I2478" i="5"/>
  <c r="E2478" i="5"/>
  <c r="X2478" i="5" s="1"/>
  <c r="R2478" i="5"/>
  <c r="H2478" i="5"/>
  <c r="G2478" i="5"/>
  <c r="F2478" i="5"/>
  <c r="F45" i="6"/>
  <c r="H45" i="6" s="1"/>
  <c r="D45" i="6" s="1"/>
  <c r="F66" i="6"/>
  <c r="F50" i="6"/>
  <c r="H50" i="6" s="1"/>
  <c r="D50" i="6" s="1"/>
  <c r="F30" i="6"/>
  <c r="H25" i="6"/>
  <c r="F35" i="6"/>
  <c r="F40" i="6"/>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I574" i="5"/>
  <c r="H574" i="5"/>
  <c r="F544" i="5"/>
  <c r="R544" i="5"/>
  <c r="J544" i="5"/>
  <c r="I544" i="5"/>
  <c r="H544" i="5"/>
  <c r="E544" i="5"/>
  <c r="F472" i="5"/>
  <c r="R472" i="5"/>
  <c r="J472" i="5"/>
  <c r="I472" i="5"/>
  <c r="H472" i="5"/>
  <c r="E472" i="5"/>
  <c r="F516" i="5"/>
  <c r="R516" i="5"/>
  <c r="H516" i="5"/>
  <c r="E516" i="5"/>
  <c r="J516" i="5"/>
  <c r="I516" i="5"/>
  <c r="R474" i="5"/>
  <c r="J474" i="5"/>
  <c r="G474" i="5"/>
  <c r="F474" i="5"/>
  <c r="E474" i="5"/>
  <c r="I474" i="5"/>
  <c r="H474" i="5"/>
  <c r="F524" i="5"/>
  <c r="R524" i="5"/>
  <c r="J524" i="5"/>
  <c r="I524" i="5"/>
  <c r="H524" i="5"/>
  <c r="E524" i="5"/>
  <c r="F476" i="5"/>
  <c r="R476" i="5"/>
  <c r="J476" i="5"/>
  <c r="I476" i="5"/>
  <c r="H476" i="5"/>
  <c r="E476" i="5"/>
  <c r="H584" i="5"/>
  <c r="F584" i="5"/>
  <c r="R584" i="5"/>
  <c r="J584" i="5"/>
  <c r="I584" i="5"/>
  <c r="E584" i="5"/>
  <c r="R345" i="5"/>
  <c r="I345" i="5"/>
  <c r="H345" i="5"/>
  <c r="F345" i="5"/>
  <c r="G345" i="5"/>
  <c r="J345" i="5"/>
  <c r="E345" i="5"/>
  <c r="R365" i="5"/>
  <c r="I365" i="5"/>
  <c r="H365" i="5"/>
  <c r="F365" i="5"/>
  <c r="J365" i="5"/>
  <c r="E365" i="5"/>
  <c r="G365" i="5"/>
  <c r="R389" i="5"/>
  <c r="J389" i="5"/>
  <c r="I389" i="5"/>
  <c r="H389" i="5"/>
  <c r="F389" i="5"/>
  <c r="E389" i="5"/>
  <c r="R385" i="5"/>
  <c r="J385" i="5"/>
  <c r="I385" i="5"/>
  <c r="H385" i="5"/>
  <c r="F385" i="5"/>
  <c r="G385" i="5"/>
  <c r="E385" i="5"/>
  <c r="E366" i="5"/>
  <c r="R366" i="5"/>
  <c r="J366" i="5"/>
  <c r="H366" i="5"/>
  <c r="I366" i="5"/>
  <c r="F366" i="5"/>
  <c r="G366" i="5"/>
  <c r="R341" i="5"/>
  <c r="I341" i="5"/>
  <c r="H341" i="5"/>
  <c r="F341" i="5"/>
  <c r="J341" i="5"/>
  <c r="G341" i="5"/>
  <c r="E341" i="5"/>
  <c r="J295" i="5"/>
  <c r="I295" i="5"/>
  <c r="H295" i="5"/>
  <c r="F295" i="5"/>
  <c r="E295" i="5"/>
  <c r="R295" i="5"/>
  <c r="J287" i="5"/>
  <c r="I287" i="5"/>
  <c r="H287" i="5"/>
  <c r="F287" i="5"/>
  <c r="E287" i="5"/>
  <c r="R287" i="5"/>
  <c r="R381" i="5"/>
  <c r="I381" i="5"/>
  <c r="H381" i="5"/>
  <c r="F381" i="5"/>
  <c r="J381" i="5"/>
  <c r="T381" i="5" s="1"/>
  <c r="G381" i="5"/>
  <c r="E381" i="5"/>
  <c r="E358" i="5"/>
  <c r="R358" i="5"/>
  <c r="J358" i="5"/>
  <c r="H358" i="5"/>
  <c r="F358" i="5"/>
  <c r="I358" i="5"/>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R602" i="5"/>
  <c r="J602" i="5"/>
  <c r="T602" i="5" s="1"/>
  <c r="I602" i="5"/>
  <c r="H602" i="5"/>
  <c r="F602" i="5"/>
  <c r="H564" i="5"/>
  <c r="F564" i="5"/>
  <c r="R564" i="5"/>
  <c r="J564" i="5"/>
  <c r="I564" i="5"/>
  <c r="E564" i="5"/>
  <c r="F500" i="5"/>
  <c r="R500" i="5"/>
  <c r="H500" i="5"/>
  <c r="E500" i="5"/>
  <c r="J500" i="5"/>
  <c r="I500" i="5"/>
  <c r="H556" i="5"/>
  <c r="F556" i="5"/>
  <c r="R556" i="5"/>
  <c r="J556" i="5"/>
  <c r="I556" i="5"/>
  <c r="E556" i="5"/>
  <c r="I461" i="5"/>
  <c r="R461" i="5"/>
  <c r="J461" i="5"/>
  <c r="H461" i="5"/>
  <c r="F461" i="5"/>
  <c r="E461" i="5"/>
  <c r="E459" i="5"/>
  <c r="R459" i="5"/>
  <c r="J459" i="5"/>
  <c r="I459" i="5"/>
  <c r="H459" i="5"/>
  <c r="F459" i="5"/>
  <c r="E374" i="5"/>
  <c r="R374" i="5"/>
  <c r="J374" i="5"/>
  <c r="H374" i="5"/>
  <c r="I374" i="5"/>
  <c r="G374" i="5"/>
  <c r="F374" i="5"/>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F464" i="5"/>
  <c r="R464" i="5"/>
  <c r="J464" i="5"/>
  <c r="I464" i="5"/>
  <c r="H464" i="5"/>
  <c r="E464" i="5"/>
  <c r="H560" i="5"/>
  <c r="F560" i="5"/>
  <c r="R560" i="5"/>
  <c r="E560" i="5"/>
  <c r="J560" i="5"/>
  <c r="I560" i="5"/>
  <c r="H548" i="5"/>
  <c r="F548" i="5"/>
  <c r="R548" i="5"/>
  <c r="I548" i="5"/>
  <c r="E548" i="5"/>
  <c r="J548" i="5"/>
  <c r="F488" i="5"/>
  <c r="R488" i="5"/>
  <c r="J488" i="5"/>
  <c r="I488" i="5"/>
  <c r="H488" i="5"/>
  <c r="E488" i="5"/>
  <c r="E433" i="5"/>
  <c r="R433" i="5"/>
  <c r="J433" i="5"/>
  <c r="I433" i="5"/>
  <c r="H433" i="5"/>
  <c r="G433" i="5"/>
  <c r="F433" i="5"/>
  <c r="E425" i="5"/>
  <c r="R425" i="5"/>
  <c r="J425" i="5"/>
  <c r="I425" i="5"/>
  <c r="H425" i="5"/>
  <c r="G425" i="5"/>
  <c r="F425" i="5"/>
  <c r="R369" i="5"/>
  <c r="I369" i="5"/>
  <c r="H369" i="5"/>
  <c r="F369" i="5"/>
  <c r="J369" i="5"/>
  <c r="E369" i="5"/>
  <c r="R357" i="5"/>
  <c r="I357" i="5"/>
  <c r="H357" i="5"/>
  <c r="F357" i="5"/>
  <c r="E357" i="5"/>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R606" i="5"/>
  <c r="J606" i="5"/>
  <c r="T606" i="5" s="1"/>
  <c r="I606" i="5"/>
  <c r="H606" i="5"/>
  <c r="F606" i="5"/>
  <c r="E598" i="5"/>
  <c r="R598" i="5"/>
  <c r="J598" i="5"/>
  <c r="T598" i="5" s="1"/>
  <c r="I598" i="5"/>
  <c r="H598" i="5"/>
  <c r="F598" i="5"/>
  <c r="G544" i="5"/>
  <c r="F512" i="5"/>
  <c r="R512" i="5"/>
  <c r="J512" i="5"/>
  <c r="I512" i="5"/>
  <c r="H512" i="5"/>
  <c r="E512" i="5"/>
  <c r="G472" i="5"/>
  <c r="G516" i="5"/>
  <c r="J553" i="5"/>
  <c r="I553" i="5"/>
  <c r="H553" i="5"/>
  <c r="E553" i="5"/>
  <c r="R553" i="5"/>
  <c r="F553" i="5"/>
  <c r="H580" i="5"/>
  <c r="F580" i="5"/>
  <c r="R580" i="5"/>
  <c r="J580" i="5"/>
  <c r="I580" i="5"/>
  <c r="E580" i="5"/>
  <c r="F504" i="5"/>
  <c r="R504" i="5"/>
  <c r="J504" i="5"/>
  <c r="I504" i="5"/>
  <c r="H504" i="5"/>
  <c r="E504" i="5"/>
  <c r="G524" i="5"/>
  <c r="G476" i="5"/>
  <c r="I596" i="5"/>
  <c r="H596" i="5"/>
  <c r="F596" i="5"/>
  <c r="R596" i="5"/>
  <c r="J596" i="5"/>
  <c r="T596" i="5" s="1"/>
  <c r="E596" i="5"/>
  <c r="G584" i="5"/>
  <c r="G517" i="5"/>
  <c r="G389" i="5"/>
  <c r="R353" i="5"/>
  <c r="I353" i="5"/>
  <c r="H353" i="5"/>
  <c r="F353" i="5"/>
  <c r="E353" i="5"/>
  <c r="J353" i="5"/>
  <c r="G287" i="5"/>
  <c r="E315" i="5"/>
  <c r="J315" i="5"/>
  <c r="R315" i="5"/>
  <c r="H315" i="5"/>
  <c r="G315" i="5"/>
  <c r="F315" i="5"/>
  <c r="I315" i="5"/>
  <c r="E307" i="5"/>
  <c r="J307" i="5"/>
  <c r="R307" i="5"/>
  <c r="H307" i="5"/>
  <c r="G307" i="5"/>
  <c r="F307" i="5"/>
  <c r="I307" i="5"/>
  <c r="E311" i="5"/>
  <c r="J311" i="5"/>
  <c r="F311" i="5"/>
  <c r="R311" i="5"/>
  <c r="I311" i="5"/>
  <c r="H311" i="5"/>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E457" i="5"/>
  <c r="R457" i="5"/>
  <c r="J457" i="5"/>
  <c r="I457" i="5"/>
  <c r="H457" i="5"/>
  <c r="G457" i="5"/>
  <c r="F457" i="5"/>
  <c r="E449" i="5"/>
  <c r="R449" i="5"/>
  <c r="J449" i="5"/>
  <c r="I449" i="5"/>
  <c r="H449" i="5"/>
  <c r="G449" i="5"/>
  <c r="F449" i="5"/>
  <c r="E417" i="5"/>
  <c r="R417" i="5"/>
  <c r="J417" i="5"/>
  <c r="I417" i="5"/>
  <c r="H417" i="5"/>
  <c r="G417" i="5"/>
  <c r="F417" i="5"/>
  <c r="R405" i="5"/>
  <c r="J405" i="5"/>
  <c r="I405" i="5"/>
  <c r="H405" i="5"/>
  <c r="F405" i="5"/>
  <c r="E405" i="5"/>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I586" i="5"/>
  <c r="R570" i="5"/>
  <c r="J570" i="5"/>
  <c r="F570" i="5"/>
  <c r="I570" i="5"/>
  <c r="H570" i="5"/>
  <c r="E570" i="5"/>
  <c r="H588" i="5"/>
  <c r="F588" i="5"/>
  <c r="R588" i="5"/>
  <c r="J588" i="5"/>
  <c r="I588" i="5"/>
  <c r="E588" i="5"/>
  <c r="F484" i="5"/>
  <c r="R484" i="5"/>
  <c r="H484" i="5"/>
  <c r="E484" i="5"/>
  <c r="J484" i="5"/>
  <c r="I484" i="5"/>
  <c r="G459" i="5"/>
  <c r="H552" i="5"/>
  <c r="F552" i="5"/>
  <c r="R552" i="5"/>
  <c r="J552" i="5"/>
  <c r="I552" i="5"/>
  <c r="E552" i="5"/>
  <c r="E453" i="5"/>
  <c r="R453" i="5"/>
  <c r="J453" i="5"/>
  <c r="I453" i="5"/>
  <c r="H453" i="5"/>
  <c r="G453" i="5"/>
  <c r="F453" i="5"/>
  <c r="E445" i="5"/>
  <c r="R445" i="5"/>
  <c r="J445" i="5"/>
  <c r="I445" i="5"/>
  <c r="H445" i="5"/>
  <c r="G445" i="5"/>
  <c r="F445" i="5"/>
  <c r="E437" i="5"/>
  <c r="R437" i="5"/>
  <c r="J437" i="5"/>
  <c r="I437" i="5"/>
  <c r="H437" i="5"/>
  <c r="G437" i="5"/>
  <c r="F437" i="5"/>
  <c r="E429" i="5"/>
  <c r="R429" i="5"/>
  <c r="J429" i="5"/>
  <c r="I429" i="5"/>
  <c r="H429" i="5"/>
  <c r="G429" i="5"/>
  <c r="F429" i="5"/>
  <c r="E421" i="5"/>
  <c r="R421" i="5"/>
  <c r="J421" i="5"/>
  <c r="I421" i="5"/>
  <c r="H421" i="5"/>
  <c r="G421" i="5"/>
  <c r="F421" i="5"/>
  <c r="E413" i="5"/>
  <c r="R413" i="5"/>
  <c r="J413" i="5"/>
  <c r="I413" i="5"/>
  <c r="H413" i="5"/>
  <c r="F413" i="5"/>
  <c r="G413" i="5"/>
  <c r="E338" i="5"/>
  <c r="R338" i="5"/>
  <c r="H338" i="5"/>
  <c r="F338" i="5"/>
  <c r="J338" i="5"/>
  <c r="I338" i="5"/>
  <c r="A16" i="6"/>
  <c r="B34" i="4"/>
  <c r="A21" i="6" s="1"/>
  <c r="F44" i="6"/>
  <c r="H44" i="6" s="1"/>
  <c r="D44" i="6" s="1"/>
  <c r="F34" i="6"/>
  <c r="F39" i="6"/>
  <c r="F54"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F480" i="5"/>
  <c r="R480" i="5"/>
  <c r="J480" i="5"/>
  <c r="I480" i="5"/>
  <c r="H480" i="5"/>
  <c r="E480" i="5"/>
  <c r="G588" i="5"/>
  <c r="F532" i="5"/>
  <c r="R532" i="5"/>
  <c r="H532" i="5"/>
  <c r="E532" i="5"/>
  <c r="J532" i="5"/>
  <c r="T532" i="5" s="1"/>
  <c r="I532" i="5"/>
  <c r="G484" i="5"/>
  <c r="H568" i="5"/>
  <c r="F568" i="5"/>
  <c r="R568" i="5"/>
  <c r="J568" i="5"/>
  <c r="I568" i="5"/>
  <c r="E568" i="5"/>
  <c r="H572" i="5"/>
  <c r="F572" i="5"/>
  <c r="R572" i="5"/>
  <c r="J572" i="5"/>
  <c r="I572" i="5"/>
  <c r="E572" i="5"/>
  <c r="I473" i="5"/>
  <c r="H473" i="5"/>
  <c r="R473" i="5"/>
  <c r="J473" i="5"/>
  <c r="F473" i="5"/>
  <c r="E473" i="5"/>
  <c r="G552" i="5"/>
  <c r="G295" i="5"/>
  <c r="R349" i="5"/>
  <c r="I349" i="5"/>
  <c r="H349" i="5"/>
  <c r="F349" i="5"/>
  <c r="J349" i="5"/>
  <c r="E349" i="5"/>
  <c r="E319" i="5"/>
  <c r="J319" i="5"/>
  <c r="F319" i="5"/>
  <c r="R319" i="5"/>
  <c r="I319" i="5"/>
  <c r="H319" i="5"/>
  <c r="S565" i="5"/>
  <c r="S411" i="5"/>
  <c r="S362" i="5"/>
  <c r="S541" i="5"/>
  <c r="S359" i="5"/>
  <c r="S481" i="5"/>
  <c r="S545" i="5"/>
  <c r="S352" i="5"/>
  <c r="S562" i="5"/>
  <c r="S458" i="5"/>
  <c r="S326" i="5"/>
  <c r="S310" i="5"/>
  <c r="S372" i="5"/>
  <c r="S498" i="5"/>
  <c r="S454" i="5"/>
  <c r="S494" i="5"/>
  <c r="T573" i="5"/>
  <c r="T402" i="5"/>
  <c r="T579" i="5"/>
  <c r="T434" i="5"/>
  <c r="T430" i="5"/>
  <c r="T528" i="5"/>
  <c r="T468" i="5"/>
  <c r="T536" i="5"/>
  <c r="T517" i="5"/>
  <c r="T409" i="5"/>
  <c r="T574" i="5"/>
  <c r="T474" i="5"/>
  <c r="T524" i="5"/>
  <c r="T405" i="5"/>
  <c r="T338" i="5"/>
  <c r="T349" i="5"/>
  <c r="T568" i="5"/>
  <c r="S507" i="5"/>
  <c r="S383" i="5"/>
  <c r="S522" i="5"/>
  <c r="S331" i="5"/>
  <c r="S534" i="5"/>
  <c r="S475" i="5"/>
  <c r="S335" i="5"/>
  <c r="S328" i="5"/>
  <c r="S370" i="5"/>
  <c r="S350" i="5"/>
  <c r="S285" i="5"/>
  <c r="T462" i="5"/>
  <c r="T561" i="5"/>
  <c r="T591" i="5"/>
  <c r="T305" i="5"/>
  <c r="T422" i="5"/>
  <c r="T286" i="5"/>
  <c r="T587" i="5"/>
  <c r="T566" i="5"/>
  <c r="T485" i="5"/>
  <c r="T323" i="5"/>
  <c r="T397" i="5"/>
  <c r="T501" i="5"/>
  <c r="T295" i="5"/>
  <c r="T500" i="5"/>
  <c r="T459" i="5"/>
  <c r="T552" i="5"/>
  <c r="T413" i="5"/>
  <c r="S491" i="5"/>
  <c r="S321" i="5"/>
  <c r="S455" i="5"/>
  <c r="S375" i="5"/>
  <c r="S503" i="5"/>
  <c r="S322" i="5"/>
  <c r="S482" i="5"/>
  <c r="S487" i="5"/>
  <c r="S589" i="5"/>
  <c r="S367" i="5"/>
  <c r="S529" i="5"/>
  <c r="S479" i="5"/>
  <c r="S289" i="5"/>
  <c r="S530" i="5"/>
  <c r="S398" i="5"/>
  <c r="S344" i="5"/>
  <c r="S320" i="5"/>
  <c r="T296" i="5"/>
  <c r="T446" i="5"/>
  <c r="T438" i="5"/>
  <c r="T280" i="5"/>
  <c r="T302" i="5"/>
  <c r="T378" i="5"/>
  <c r="T289" i="5"/>
  <c r="T401" i="5"/>
  <c r="T441" i="5"/>
  <c r="T564" i="5"/>
  <c r="T548" i="5"/>
  <c r="T425" i="5"/>
  <c r="T357" i="5"/>
  <c r="T421" i="5"/>
  <c r="S527" i="5"/>
  <c r="S515" i="5"/>
  <c r="S593" i="5"/>
  <c r="S506" i="5"/>
  <c r="S332" i="5"/>
  <c r="S450" i="5"/>
  <c r="S334" i="5"/>
  <c r="S316" i="5"/>
  <c r="T577" i="5"/>
  <c r="T394" i="5"/>
  <c r="T410" i="5"/>
  <c r="T495" i="5"/>
  <c r="T582" i="5"/>
  <c r="T466" i="5"/>
  <c r="T520" i="5"/>
  <c r="T283" i="5"/>
  <c r="T361" i="5"/>
  <c r="T492" i="5"/>
  <c r="T365" i="5"/>
  <c r="T461" i="5"/>
  <c r="T464" i="5"/>
  <c r="T560" i="5"/>
  <c r="T433" i="5"/>
  <c r="T369" i="5"/>
  <c r="T504" i="5"/>
  <c r="T449" i="5"/>
  <c r="T484" i="5"/>
  <c r="T429" i="5"/>
  <c r="T570" i="5"/>
  <c r="T437" i="5"/>
  <c r="T311" i="5"/>
  <c r="T480" i="5"/>
  <c r="S581" i="5"/>
  <c r="S499" i="5"/>
  <c r="S346" i="5"/>
  <c r="S511" i="5"/>
  <c r="S502" i="5"/>
  <c r="S477" i="5"/>
  <c r="S325" i="5"/>
  <c r="S513" i="5"/>
  <c r="S557" i="5"/>
  <c r="S386" i="5"/>
  <c r="S558" i="5"/>
  <c r="S486" i="5"/>
  <c r="S550" i="5"/>
  <c r="S293" i="5"/>
  <c r="S518" i="5"/>
  <c r="S318" i="5"/>
  <c r="T292" i="5"/>
  <c r="T607" i="5"/>
  <c r="T364" i="5"/>
  <c r="T465" i="5"/>
  <c r="T377" i="5"/>
  <c r="T354" i="5"/>
  <c r="T489" i="5"/>
  <c r="T578" i="5"/>
  <c r="T608" i="5"/>
  <c r="T315" i="5"/>
  <c r="T307" i="5"/>
  <c r="T457" i="5"/>
  <c r="T588" i="5"/>
  <c r="T473" i="5"/>
  <c r="T417" i="5"/>
  <c r="S546" i="5"/>
  <c r="S543" i="5"/>
  <c r="S525" i="5"/>
  <c r="S317" i="5"/>
  <c r="S378" i="5"/>
  <c r="S330" i="5"/>
  <c r="S281" i="5"/>
  <c r="S284" i="5"/>
  <c r="T418" i="5"/>
  <c r="T329" i="5"/>
  <c r="T595" i="5"/>
  <c r="T471" i="5"/>
  <c r="T508" i="5"/>
  <c r="T393" i="5"/>
  <c r="T291" i="5"/>
  <c r="T576" i="5"/>
  <c r="T533" i="5"/>
  <c r="T505" i="5"/>
  <c r="T327" i="5"/>
  <c r="T472" i="5"/>
  <c r="T516" i="5"/>
  <c r="T584" i="5"/>
  <c r="T345" i="5"/>
  <c r="T385" i="5"/>
  <c r="T366" i="5"/>
  <c r="T488" i="5"/>
  <c r="T553" i="5"/>
  <c r="T445" i="5"/>
  <c r="S539" i="5"/>
  <c r="S519" i="5"/>
  <c r="S549" i="5"/>
  <c r="S337" i="5"/>
  <c r="S535" i="5"/>
  <c r="S309" i="5"/>
  <c r="S497" i="5"/>
  <c r="S483" i="5"/>
  <c r="S470" i="5"/>
  <c r="S297" i="5"/>
  <c r="S514" i="5"/>
  <c r="S288" i="5"/>
  <c r="S312" i="5"/>
  <c r="S306" i="5"/>
  <c r="T304" i="5"/>
  <c r="T594" i="5"/>
  <c r="T590" i="5"/>
  <c r="T521" i="5"/>
  <c r="T476" i="5"/>
  <c r="T341" i="5"/>
  <c r="T358" i="5"/>
  <c r="T556" i="5"/>
  <c r="T580" i="5"/>
  <c r="T496" i="5"/>
  <c r="T586" i="5"/>
  <c r="T453" i="5"/>
  <c r="T592" i="5"/>
  <c r="S336" i="5"/>
  <c r="S554" i="5"/>
  <c r="S569" i="5"/>
  <c r="S300" i="5"/>
  <c r="S324" i="5"/>
  <c r="S526" i="5"/>
  <c r="S368" i="5"/>
  <c r="S380" i="5"/>
  <c r="S308" i="5"/>
  <c r="T390" i="5"/>
  <c r="T406" i="5"/>
  <c r="T426" i="5"/>
  <c r="T575" i="5"/>
  <c r="T333" i="5"/>
  <c r="T523" i="5"/>
  <c r="T540" i="5"/>
  <c r="T339" i="5"/>
  <c r="T373" i="5"/>
  <c r="T299" i="5"/>
  <c r="T537" i="5"/>
  <c r="T544" i="5"/>
  <c r="T389" i="5"/>
  <c r="T287" i="5"/>
  <c r="T374" i="5"/>
  <c r="T512" i="5"/>
  <c r="T353" i="5"/>
  <c r="T572" i="5"/>
  <c r="T319" i="5"/>
  <c r="S269" i="5"/>
  <c r="S273" i="5"/>
  <c r="S277" i="5"/>
  <c r="S272" i="5"/>
  <c r="S265" i="5"/>
  <c r="R267" i="5" l="1"/>
  <c r="V162" i="5"/>
  <c r="R162" i="5" s="1"/>
  <c r="AB243" i="5"/>
  <c r="AB179" i="5"/>
  <c r="AB115" i="5"/>
  <c r="AB267" i="5"/>
  <c r="AB203" i="5"/>
  <c r="AB139" i="5"/>
  <c r="AB251" i="5"/>
  <c r="AB187" i="5"/>
  <c r="AB123" i="5"/>
  <c r="X264" i="5"/>
  <c r="R276" i="5"/>
  <c r="G250" i="5"/>
  <c r="AB259" i="5"/>
  <c r="AB195" i="5"/>
  <c r="AB131" i="5"/>
  <c r="R250" i="5"/>
  <c r="H250" i="5"/>
  <c r="R279" i="5"/>
  <c r="X279" i="5"/>
  <c r="R271" i="5"/>
  <c r="X278" i="5"/>
  <c r="AB127" i="5"/>
  <c r="J90" i="5"/>
  <c r="E250" i="5"/>
  <c r="X250" i="5" s="1"/>
  <c r="R275" i="5"/>
  <c r="X275" i="5"/>
  <c r="AB275" i="5"/>
  <c r="AB211" i="5"/>
  <c r="AB147" i="5"/>
  <c r="J250" i="5"/>
  <c r="E242" i="5"/>
  <c r="X242" i="5" s="1"/>
  <c r="AB255" i="5"/>
  <c r="AB206" i="5"/>
  <c r="V239" i="5"/>
  <c r="V175" i="5"/>
  <c r="I175" i="5" s="1"/>
  <c r="V111" i="5"/>
  <c r="V190" i="5"/>
  <c r="AB227" i="5"/>
  <c r="AB163" i="5"/>
  <c r="AB99" i="5"/>
  <c r="R114" i="5"/>
  <c r="E114" i="5"/>
  <c r="X114" i="5" s="1"/>
  <c r="AB263" i="5"/>
  <c r="AB199" i="5"/>
  <c r="AB135" i="5"/>
  <c r="AB71" i="5"/>
  <c r="AB278" i="5"/>
  <c r="AB214" i="5"/>
  <c r="AB150" i="5"/>
  <c r="AB86" i="5"/>
  <c r="AB276" i="5"/>
  <c r="H242" i="5"/>
  <c r="AB264" i="5"/>
  <c r="I114" i="5"/>
  <c r="AB235" i="5"/>
  <c r="AB171" i="5"/>
  <c r="AB107" i="5"/>
  <c r="I242" i="5"/>
  <c r="AB279" i="5"/>
  <c r="AB215" i="5"/>
  <c r="AB151" i="5"/>
  <c r="AB102" i="5"/>
  <c r="J242" i="5"/>
  <c r="F114" i="5"/>
  <c r="AB271" i="5"/>
  <c r="AB207" i="5"/>
  <c r="AB143" i="5"/>
  <c r="V188" i="5"/>
  <c r="J188" i="5" s="1"/>
  <c r="R242" i="5"/>
  <c r="J114" i="5"/>
  <c r="V193" i="5"/>
  <c r="I193" i="5" s="1"/>
  <c r="V247" i="5"/>
  <c r="R247" i="5" s="1"/>
  <c r="V183" i="5"/>
  <c r="H183" i="5" s="1"/>
  <c r="V119" i="5"/>
  <c r="F119" i="5" s="1"/>
  <c r="V219" i="5"/>
  <c r="I219" i="5" s="1"/>
  <c r="V155" i="5"/>
  <c r="R155" i="5" s="1"/>
  <c r="AB42" i="5"/>
  <c r="G114" i="5"/>
  <c r="F242" i="5"/>
  <c r="AB231" i="5"/>
  <c r="AB167" i="5"/>
  <c r="AB103" i="5"/>
  <c r="V223" i="5"/>
  <c r="V159" i="5"/>
  <c r="V238" i="5"/>
  <c r="R238" i="5" s="1"/>
  <c r="V174" i="5"/>
  <c r="G174" i="5" s="1"/>
  <c r="T264" i="5"/>
  <c r="V274" i="5"/>
  <c r="V82" i="5"/>
  <c r="G82" i="5" s="1"/>
  <c r="AB97" i="5"/>
  <c r="AB270" i="5"/>
  <c r="AB142" i="5"/>
  <c r="V262" i="5"/>
  <c r="G262" i="5" s="1"/>
  <c r="V198" i="5"/>
  <c r="G198" i="5" s="1"/>
  <c r="V108" i="5"/>
  <c r="G108" i="5" s="1"/>
  <c r="AB170" i="5"/>
  <c r="V253" i="5"/>
  <c r="G253" i="5" s="1"/>
  <c r="AB225" i="5"/>
  <c r="V249" i="5"/>
  <c r="G249" i="5" s="1"/>
  <c r="V57" i="5"/>
  <c r="G57" i="5" s="1"/>
  <c r="V232" i="5"/>
  <c r="G232" i="5" s="1"/>
  <c r="V27" i="5"/>
  <c r="G27" i="5" s="1"/>
  <c r="G210" i="5"/>
  <c r="H210" i="5"/>
  <c r="R210" i="5"/>
  <c r="J210" i="5"/>
  <c r="I210" i="5"/>
  <c r="V18" i="5"/>
  <c r="G18" i="5" s="1"/>
  <c r="AB33" i="5"/>
  <c r="V121" i="5"/>
  <c r="G121" i="5" s="1"/>
  <c r="AB200" i="5"/>
  <c r="AB72" i="5"/>
  <c r="AB191" i="5"/>
  <c r="AB63" i="5"/>
  <c r="V272" i="5"/>
  <c r="V88" i="5"/>
  <c r="V55" i="5"/>
  <c r="G55" i="5" s="1"/>
  <c r="AB78" i="5"/>
  <c r="V134" i="5"/>
  <c r="G134" i="5" s="1"/>
  <c r="V70" i="5"/>
  <c r="AB221" i="5"/>
  <c r="AB157" i="5"/>
  <c r="AB93" i="5"/>
  <c r="AB29" i="5"/>
  <c r="AB268" i="5"/>
  <c r="AB204" i="5"/>
  <c r="AB140" i="5"/>
  <c r="AB76" i="5"/>
  <c r="V93" i="5"/>
  <c r="G93" i="5" s="1"/>
  <c r="V236" i="5"/>
  <c r="G236" i="5" s="1"/>
  <c r="V172" i="5"/>
  <c r="G172" i="5" s="1"/>
  <c r="V44" i="5"/>
  <c r="G44" i="5" s="1"/>
  <c r="AB67" i="5"/>
  <c r="V216" i="5"/>
  <c r="G216" i="5" s="1"/>
  <c r="AB106" i="5"/>
  <c r="E210" i="5"/>
  <c r="X210" i="5" s="1"/>
  <c r="G146" i="5"/>
  <c r="I146" i="5"/>
  <c r="F146" i="5"/>
  <c r="J146" i="5"/>
  <c r="R146" i="5"/>
  <c r="E146" i="5"/>
  <c r="X146" i="5" s="1"/>
  <c r="H146" i="5"/>
  <c r="AB161" i="5"/>
  <c r="V173" i="5"/>
  <c r="G173" i="5" s="1"/>
  <c r="V185" i="5"/>
  <c r="AB136" i="5"/>
  <c r="V112" i="5"/>
  <c r="G112" i="5" s="1"/>
  <c r="V91" i="5"/>
  <c r="G91" i="5" s="1"/>
  <c r="AB234" i="5"/>
  <c r="F210" i="5"/>
  <c r="I90" i="5"/>
  <c r="V213" i="5"/>
  <c r="G213" i="5" s="1"/>
  <c r="V266" i="5"/>
  <c r="V202" i="5"/>
  <c r="G202" i="5" s="1"/>
  <c r="V138" i="5"/>
  <c r="G138" i="5" s="1"/>
  <c r="V74" i="5"/>
  <c r="G74" i="5" s="1"/>
  <c r="AB217" i="5"/>
  <c r="AB153" i="5"/>
  <c r="AB89" i="5"/>
  <c r="AB25" i="5"/>
  <c r="V141" i="5"/>
  <c r="G141" i="5" s="1"/>
  <c r="V241" i="5"/>
  <c r="V177" i="5"/>
  <c r="G177" i="5" s="1"/>
  <c r="V113" i="5"/>
  <c r="G113" i="5" s="1"/>
  <c r="V49" i="5"/>
  <c r="G49" i="5" s="1"/>
  <c r="AB256" i="5"/>
  <c r="AB192" i="5"/>
  <c r="AB128" i="5"/>
  <c r="AB64" i="5"/>
  <c r="V168" i="5"/>
  <c r="G168" i="5" s="1"/>
  <c r="AB247" i="5"/>
  <c r="AB183" i="5"/>
  <c r="AB119" i="5"/>
  <c r="AB55" i="5"/>
  <c r="V248" i="5"/>
  <c r="G248" i="5" s="1"/>
  <c r="V64" i="5"/>
  <c r="G64" i="5" s="1"/>
  <c r="V47" i="5"/>
  <c r="G47" i="5" s="1"/>
  <c r="AB262" i="5"/>
  <c r="AB198" i="5"/>
  <c r="AB134" i="5"/>
  <c r="AB70" i="5"/>
  <c r="V96" i="5"/>
  <c r="G96" i="5" s="1"/>
  <c r="V254" i="5"/>
  <c r="G254" i="5" s="1"/>
  <c r="V126" i="5"/>
  <c r="G126" i="5" s="1"/>
  <c r="V62" i="5"/>
  <c r="G62" i="5" s="1"/>
  <c r="AB277" i="5"/>
  <c r="AB213" i="5"/>
  <c r="AB149" i="5"/>
  <c r="AB85" i="5"/>
  <c r="AB21" i="5"/>
  <c r="AB260" i="5"/>
  <c r="AB196" i="5"/>
  <c r="AB132" i="5"/>
  <c r="AB68" i="5"/>
  <c r="AB5" i="5"/>
  <c r="V53" i="5"/>
  <c r="G53" i="5" s="1"/>
  <c r="V228" i="5"/>
  <c r="G228" i="5" s="1"/>
  <c r="V164" i="5"/>
  <c r="V100" i="5"/>
  <c r="V36" i="5"/>
  <c r="AB59" i="5"/>
  <c r="V269" i="5"/>
  <c r="V211" i="5"/>
  <c r="V147" i="5"/>
  <c r="V83" i="5"/>
  <c r="V19" i="5"/>
  <c r="AB226" i="5"/>
  <c r="AB162" i="5"/>
  <c r="AB98" i="5"/>
  <c r="AB34" i="5"/>
  <c r="E90" i="5"/>
  <c r="X90" i="5" s="1"/>
  <c r="F90" i="5"/>
  <c r="V181" i="5"/>
  <c r="G181" i="5" s="1"/>
  <c r="V258" i="5"/>
  <c r="G258" i="5" s="1"/>
  <c r="V194" i="5"/>
  <c r="V130" i="5"/>
  <c r="G130" i="5" s="1"/>
  <c r="V66" i="5"/>
  <c r="G66" i="5" s="1"/>
  <c r="AB273" i="5"/>
  <c r="AB209" i="5"/>
  <c r="AB145" i="5"/>
  <c r="AB81" i="5"/>
  <c r="AB17" i="5"/>
  <c r="V101" i="5"/>
  <c r="V233" i="5"/>
  <c r="G233" i="5" s="1"/>
  <c r="V169" i="5"/>
  <c r="V105" i="5"/>
  <c r="G105" i="5" s="1"/>
  <c r="V41" i="5"/>
  <c r="AB248" i="5"/>
  <c r="AB184" i="5"/>
  <c r="AB120" i="5"/>
  <c r="AB56" i="5"/>
  <c r="V128" i="5"/>
  <c r="G128" i="5" s="1"/>
  <c r="AB239" i="5"/>
  <c r="AB175" i="5"/>
  <c r="AB111" i="5"/>
  <c r="AB47" i="5"/>
  <c r="V200" i="5"/>
  <c r="V48" i="5"/>
  <c r="G48" i="5" s="1"/>
  <c r="V231" i="5"/>
  <c r="V167" i="5"/>
  <c r="V103" i="5"/>
  <c r="V39" i="5"/>
  <c r="G39" i="5" s="1"/>
  <c r="AB254" i="5"/>
  <c r="AB190" i="5"/>
  <c r="AB126" i="5"/>
  <c r="AB62" i="5"/>
  <c r="V72" i="5"/>
  <c r="G72" i="5" s="1"/>
  <c r="V246" i="5"/>
  <c r="G246" i="5" s="1"/>
  <c r="V182" i="5"/>
  <c r="V118" i="5"/>
  <c r="G118" i="5" s="1"/>
  <c r="V54" i="5"/>
  <c r="G54" i="5" s="1"/>
  <c r="AB269" i="5"/>
  <c r="AB205" i="5"/>
  <c r="AB141" i="5"/>
  <c r="AB77" i="5"/>
  <c r="AB252" i="5"/>
  <c r="AB188" i="5"/>
  <c r="AB124" i="5"/>
  <c r="AB60" i="5"/>
  <c r="V224" i="5"/>
  <c r="G224" i="5" s="1"/>
  <c r="V29" i="5"/>
  <c r="V220" i="5"/>
  <c r="G220" i="5" s="1"/>
  <c r="V156" i="5"/>
  <c r="G156" i="5" s="1"/>
  <c r="V92" i="5"/>
  <c r="G92" i="5" s="1"/>
  <c r="V28" i="5"/>
  <c r="AB51" i="5"/>
  <c r="V229" i="5"/>
  <c r="G229" i="5" s="1"/>
  <c r="V203" i="5"/>
  <c r="V139" i="5"/>
  <c r="V75" i="5"/>
  <c r="G75" i="5" s="1"/>
  <c r="AB218" i="5"/>
  <c r="AB154" i="5"/>
  <c r="AB90" i="5"/>
  <c r="AB26" i="5"/>
  <c r="R90" i="5"/>
  <c r="V149" i="5"/>
  <c r="G149" i="5" s="1"/>
  <c r="V186" i="5"/>
  <c r="V122" i="5"/>
  <c r="G122" i="5" s="1"/>
  <c r="V58" i="5"/>
  <c r="G58" i="5" s="1"/>
  <c r="AB265" i="5"/>
  <c r="AB201" i="5"/>
  <c r="AB137" i="5"/>
  <c r="AB73" i="5"/>
  <c r="V69" i="5"/>
  <c r="G69" i="5" s="1"/>
  <c r="V225" i="5"/>
  <c r="G225" i="5" s="1"/>
  <c r="V161" i="5"/>
  <c r="G161" i="5" s="1"/>
  <c r="V97" i="5"/>
  <c r="G97" i="5" s="1"/>
  <c r="V33" i="5"/>
  <c r="G33" i="5" s="1"/>
  <c r="AB240" i="5"/>
  <c r="AB176" i="5"/>
  <c r="AB112" i="5"/>
  <c r="AB48" i="5"/>
  <c r="V80" i="5"/>
  <c r="G80" i="5" s="1"/>
  <c r="AB39" i="5"/>
  <c r="V184" i="5"/>
  <c r="V32" i="5"/>
  <c r="G32" i="5" s="1"/>
  <c r="V95" i="5"/>
  <c r="G95" i="5" s="1"/>
  <c r="V31" i="5"/>
  <c r="AB246" i="5"/>
  <c r="AB182" i="5"/>
  <c r="AB118" i="5"/>
  <c r="AB54" i="5"/>
  <c r="V240" i="5"/>
  <c r="G240" i="5" s="1"/>
  <c r="V56" i="5"/>
  <c r="G56" i="5" s="1"/>
  <c r="V110" i="5"/>
  <c r="G110" i="5" s="1"/>
  <c r="V46" i="5"/>
  <c r="G46" i="5" s="1"/>
  <c r="AB261" i="5"/>
  <c r="AB197" i="5"/>
  <c r="AB133" i="5"/>
  <c r="AB69" i="5"/>
  <c r="AB6" i="5"/>
  <c r="AB244" i="5"/>
  <c r="AB180" i="5"/>
  <c r="AB116" i="5"/>
  <c r="AB52" i="5"/>
  <c r="V261" i="5"/>
  <c r="V212" i="5"/>
  <c r="G212" i="5" s="1"/>
  <c r="V148" i="5"/>
  <c r="G148" i="5" s="1"/>
  <c r="V84" i="5"/>
  <c r="G84" i="5" s="1"/>
  <c r="V20" i="5"/>
  <c r="AB43" i="5"/>
  <c r="V197" i="5"/>
  <c r="G197" i="5" s="1"/>
  <c r="V259" i="5"/>
  <c r="V195" i="5"/>
  <c r="V131" i="5"/>
  <c r="V67" i="5"/>
  <c r="G67" i="5" s="1"/>
  <c r="AB274" i="5"/>
  <c r="AB210" i="5"/>
  <c r="AB146" i="5"/>
  <c r="AB82" i="5"/>
  <c r="AB18" i="5"/>
  <c r="X276" i="5"/>
  <c r="F250" i="5"/>
  <c r="T278" i="5"/>
  <c r="H90" i="5"/>
  <c r="V109" i="5"/>
  <c r="G109" i="5" s="1"/>
  <c r="V178" i="5"/>
  <c r="G178" i="5" s="1"/>
  <c r="V50" i="5"/>
  <c r="AB257" i="5"/>
  <c r="AB193" i="5"/>
  <c r="AB129" i="5"/>
  <c r="AB65" i="5"/>
  <c r="V256" i="5"/>
  <c r="V37" i="5"/>
  <c r="V217" i="5"/>
  <c r="G217" i="5" s="1"/>
  <c r="V153" i="5"/>
  <c r="G153" i="5" s="1"/>
  <c r="V89" i="5"/>
  <c r="V25" i="5"/>
  <c r="AB232" i="5"/>
  <c r="AB168" i="5"/>
  <c r="AB104" i="5"/>
  <c r="AB40" i="5"/>
  <c r="V24" i="5"/>
  <c r="G24" i="5" s="1"/>
  <c r="AB223" i="5"/>
  <c r="AB159" i="5"/>
  <c r="AB95" i="5"/>
  <c r="AB31" i="5"/>
  <c r="V160" i="5"/>
  <c r="V215" i="5"/>
  <c r="V151" i="5"/>
  <c r="V87" i="5"/>
  <c r="V23" i="5"/>
  <c r="G23" i="5" s="1"/>
  <c r="AB238" i="5"/>
  <c r="AB174" i="5"/>
  <c r="AB110" i="5"/>
  <c r="AB46" i="5"/>
  <c r="V192" i="5"/>
  <c r="G192" i="5" s="1"/>
  <c r="V40" i="5"/>
  <c r="V230" i="5"/>
  <c r="G230" i="5" s="1"/>
  <c r="V166" i="5"/>
  <c r="G166" i="5" s="1"/>
  <c r="V102" i="5"/>
  <c r="V38" i="5"/>
  <c r="AB253" i="5"/>
  <c r="AB189" i="5"/>
  <c r="AB125" i="5"/>
  <c r="AB61" i="5"/>
  <c r="V237" i="5"/>
  <c r="G237" i="5" s="1"/>
  <c r="AB236" i="5"/>
  <c r="AB172" i="5"/>
  <c r="AB108" i="5"/>
  <c r="AB44" i="5"/>
  <c r="V221" i="5"/>
  <c r="G221" i="5" s="1"/>
  <c r="V268" i="5"/>
  <c r="V204" i="5"/>
  <c r="G204" i="5" s="1"/>
  <c r="V140" i="5"/>
  <c r="G140" i="5" s="1"/>
  <c r="V76" i="5"/>
  <c r="AB35" i="5"/>
  <c r="V165" i="5"/>
  <c r="G165" i="5" s="1"/>
  <c r="V251" i="5"/>
  <c r="V187" i="5"/>
  <c r="V123" i="5"/>
  <c r="V59" i="5"/>
  <c r="AB266" i="5"/>
  <c r="AB202" i="5"/>
  <c r="AB138" i="5"/>
  <c r="AB74" i="5"/>
  <c r="R278" i="5"/>
  <c r="H238" i="5"/>
  <c r="V77" i="5"/>
  <c r="G77" i="5" s="1"/>
  <c r="V234" i="5"/>
  <c r="G234" i="5" s="1"/>
  <c r="V170" i="5"/>
  <c r="G170" i="5" s="1"/>
  <c r="V106" i="5"/>
  <c r="G106" i="5" s="1"/>
  <c r="V42" i="5"/>
  <c r="AB249" i="5"/>
  <c r="AB185" i="5"/>
  <c r="AB121" i="5"/>
  <c r="AB57" i="5"/>
  <c r="V277" i="5"/>
  <c r="V273" i="5"/>
  <c r="V209" i="5"/>
  <c r="G209" i="5" s="1"/>
  <c r="V145" i="5"/>
  <c r="G145" i="5" s="1"/>
  <c r="V81" i="5"/>
  <c r="G81" i="5" s="1"/>
  <c r="V17" i="5"/>
  <c r="G17" i="5" s="1"/>
  <c r="AB224" i="5"/>
  <c r="AB160" i="5"/>
  <c r="AB96" i="5"/>
  <c r="AB32" i="5"/>
  <c r="AB87" i="5"/>
  <c r="AB23" i="5"/>
  <c r="V144" i="5"/>
  <c r="G144" i="5" s="1"/>
  <c r="V207" i="5"/>
  <c r="V143" i="5"/>
  <c r="V79" i="5"/>
  <c r="G79" i="5" s="1"/>
  <c r="AB230" i="5"/>
  <c r="AB166" i="5"/>
  <c r="AB38" i="5"/>
  <c r="V176" i="5"/>
  <c r="G176" i="5" s="1"/>
  <c r="V222" i="5"/>
  <c r="G222" i="5" s="1"/>
  <c r="V158" i="5"/>
  <c r="G158" i="5" s="1"/>
  <c r="V94" i="5"/>
  <c r="G94" i="5" s="1"/>
  <c r="V30" i="5"/>
  <c r="AB245" i="5"/>
  <c r="AB181" i="5"/>
  <c r="AB117" i="5"/>
  <c r="AB53" i="5"/>
  <c r="V125" i="5"/>
  <c r="G125" i="5" s="1"/>
  <c r="AB228" i="5"/>
  <c r="AB164" i="5"/>
  <c r="AB100" i="5"/>
  <c r="AB36" i="5"/>
  <c r="V189" i="5"/>
  <c r="V260" i="5"/>
  <c r="V196" i="5"/>
  <c r="G196" i="5" s="1"/>
  <c r="V132" i="5"/>
  <c r="G132" i="5" s="1"/>
  <c r="V68" i="5"/>
  <c r="G68" i="5" s="1"/>
  <c r="V5" i="5"/>
  <c r="G5" i="5" s="1"/>
  <c r="AB219" i="5"/>
  <c r="AB155" i="5"/>
  <c r="AB91" i="5"/>
  <c r="AB27" i="5"/>
  <c r="V133" i="5"/>
  <c r="G133" i="5" s="1"/>
  <c r="V243" i="5"/>
  <c r="V179" i="5"/>
  <c r="V115" i="5"/>
  <c r="V51" i="5"/>
  <c r="G51" i="5" s="1"/>
  <c r="AB258" i="5"/>
  <c r="AB194" i="5"/>
  <c r="AB130" i="5"/>
  <c r="AB66" i="5"/>
  <c r="H193" i="5"/>
  <c r="V45" i="5"/>
  <c r="G45" i="5" s="1"/>
  <c r="V226" i="5"/>
  <c r="G226" i="5" s="1"/>
  <c r="V98" i="5"/>
  <c r="G98" i="5" s="1"/>
  <c r="V34" i="5"/>
  <c r="AB241" i="5"/>
  <c r="AB177" i="5"/>
  <c r="AB113" i="5"/>
  <c r="AB49" i="5"/>
  <c r="V245" i="5"/>
  <c r="G245" i="5" s="1"/>
  <c r="V265" i="5"/>
  <c r="V201" i="5"/>
  <c r="G201" i="5" s="1"/>
  <c r="V137" i="5"/>
  <c r="G137" i="5" s="1"/>
  <c r="V73" i="5"/>
  <c r="G73" i="5" s="1"/>
  <c r="AB216" i="5"/>
  <c r="AB152" i="5"/>
  <c r="AB88" i="5"/>
  <c r="AB24" i="5"/>
  <c r="AB79" i="5"/>
  <c r="V120" i="5"/>
  <c r="G120" i="5" s="1"/>
  <c r="V263" i="5"/>
  <c r="V199" i="5"/>
  <c r="V135" i="5"/>
  <c r="V71" i="5"/>
  <c r="G71" i="5" s="1"/>
  <c r="AB222" i="5"/>
  <c r="AB158" i="5"/>
  <c r="AB94" i="5"/>
  <c r="AB30" i="5"/>
  <c r="V152" i="5"/>
  <c r="V214" i="5"/>
  <c r="V150" i="5"/>
  <c r="V86" i="5"/>
  <c r="V22" i="5"/>
  <c r="G22" i="5" s="1"/>
  <c r="AB237" i="5"/>
  <c r="AB173" i="5"/>
  <c r="AB109" i="5"/>
  <c r="AB45" i="5"/>
  <c r="V6" i="5"/>
  <c r="G6" i="5" s="1"/>
  <c r="AB220" i="5"/>
  <c r="AB156" i="5"/>
  <c r="AB92" i="5"/>
  <c r="AB28" i="5"/>
  <c r="V157" i="5"/>
  <c r="G157" i="5" s="1"/>
  <c r="V252" i="5"/>
  <c r="G252" i="5" s="1"/>
  <c r="V124" i="5"/>
  <c r="G124" i="5" s="1"/>
  <c r="V60" i="5"/>
  <c r="G60" i="5" s="1"/>
  <c r="AB83" i="5"/>
  <c r="AB19" i="5"/>
  <c r="V85" i="5"/>
  <c r="G85" i="5" s="1"/>
  <c r="V235" i="5"/>
  <c r="V171" i="5"/>
  <c r="V107" i="5"/>
  <c r="V43" i="5"/>
  <c r="AB250" i="5"/>
  <c r="AB186" i="5"/>
  <c r="AB122" i="5"/>
  <c r="AB58" i="5"/>
  <c r="V208" i="5"/>
  <c r="V21" i="5"/>
  <c r="V218" i="5"/>
  <c r="V154" i="5"/>
  <c r="V26" i="5"/>
  <c r="AB233" i="5"/>
  <c r="AB169" i="5"/>
  <c r="AB105" i="5"/>
  <c r="AB41" i="5"/>
  <c r="V205" i="5"/>
  <c r="V257" i="5"/>
  <c r="V129" i="5"/>
  <c r="V65" i="5"/>
  <c r="G65" i="5" s="1"/>
  <c r="AB272" i="5"/>
  <c r="AB208" i="5"/>
  <c r="AB144" i="5"/>
  <c r="AB80" i="5"/>
  <c r="V104" i="5"/>
  <c r="V255" i="5"/>
  <c r="V191" i="5"/>
  <c r="V127" i="5"/>
  <c r="V63" i="5"/>
  <c r="G63" i="5" s="1"/>
  <c r="AB22" i="5"/>
  <c r="V136" i="5"/>
  <c r="G136" i="5" s="1"/>
  <c r="V270" i="5"/>
  <c r="V206" i="5"/>
  <c r="V142" i="5"/>
  <c r="V78" i="5"/>
  <c r="AB229" i="5"/>
  <c r="AB165" i="5"/>
  <c r="AB101" i="5"/>
  <c r="AB37" i="5"/>
  <c r="AB212" i="5"/>
  <c r="AB148" i="5"/>
  <c r="AB84" i="5"/>
  <c r="AB20" i="5"/>
  <c r="V117" i="5"/>
  <c r="G117" i="5" s="1"/>
  <c r="V244" i="5"/>
  <c r="V180" i="5"/>
  <c r="V116" i="5"/>
  <c r="V52" i="5"/>
  <c r="G52" i="5" s="1"/>
  <c r="AB75" i="5"/>
  <c r="V61" i="5"/>
  <c r="V227" i="5"/>
  <c r="V163" i="5"/>
  <c r="V99" i="5"/>
  <c r="V35" i="5"/>
  <c r="G35" i="5" s="1"/>
  <c r="AB242" i="5"/>
  <c r="AB178" i="5"/>
  <c r="AB114" i="5"/>
  <c r="AB50" i="5"/>
  <c r="H36" i="6"/>
  <c r="D36" i="6" s="1"/>
  <c r="F41" i="6"/>
  <c r="H41" i="6" s="1"/>
  <c r="D41" i="6" s="1"/>
  <c r="F46" i="6"/>
  <c r="F31" i="6"/>
  <c r="F67" i="6"/>
  <c r="F51" i="6"/>
  <c r="H51" i="6" s="1"/>
  <c r="D51" i="6" s="1"/>
  <c r="X588" i="5"/>
  <c r="X353" i="5"/>
  <c r="X596" i="5"/>
  <c r="S596" i="5"/>
  <c r="X504" i="5"/>
  <c r="X598" i="5"/>
  <c r="S598" i="5"/>
  <c r="X464" i="5"/>
  <c r="X461" i="5"/>
  <c r="X345" i="5"/>
  <c r="X492" i="5"/>
  <c r="X501" i="5"/>
  <c r="X610" i="5"/>
  <c r="S610" i="5"/>
  <c r="X397" i="5"/>
  <c r="X537" i="5"/>
  <c r="X576" i="5"/>
  <c r="X600" i="5"/>
  <c r="S600" i="5"/>
  <c r="X401" i="5"/>
  <c r="X339" i="5"/>
  <c r="X465" i="5"/>
  <c r="X520" i="5"/>
  <c r="X466" i="5"/>
  <c r="X485" i="5"/>
  <c r="X426" i="5"/>
  <c r="X471" i="5"/>
  <c r="X286" i="5"/>
  <c r="X406" i="5"/>
  <c r="X374" i="5"/>
  <c r="X295" i="5"/>
  <c r="X409" i="5"/>
  <c r="X517" i="5"/>
  <c r="X361" i="5"/>
  <c r="X521" i="5"/>
  <c r="X377" i="5"/>
  <c r="X566" i="5"/>
  <c r="X595" i="5"/>
  <c r="X280" i="5"/>
  <c r="X523" i="5"/>
  <c r="X495" i="5"/>
  <c r="X577" i="5"/>
  <c r="X319" i="5"/>
  <c r="X338" i="5"/>
  <c r="X453" i="5"/>
  <c r="X405" i="5"/>
  <c r="X369" i="5"/>
  <c r="X564" i="5"/>
  <c r="X358" i="5"/>
  <c r="X365" i="5"/>
  <c r="X516" i="5"/>
  <c r="X327" i="5"/>
  <c r="X505" i="5"/>
  <c r="X590" i="5"/>
  <c r="X594" i="5"/>
  <c r="X410" i="5"/>
  <c r="X438" i="5"/>
  <c r="X599" i="5"/>
  <c r="S599" i="5"/>
  <c r="X446" i="5"/>
  <c r="X364" i="5"/>
  <c r="X422" i="5"/>
  <c r="X402" i="5"/>
  <c r="X480" i="5"/>
  <c r="X568" i="5"/>
  <c r="X445" i="5"/>
  <c r="X552" i="5"/>
  <c r="X307" i="5"/>
  <c r="X315" i="5"/>
  <c r="X381" i="5"/>
  <c r="S381" i="5"/>
  <c r="X287" i="5"/>
  <c r="X366" i="5"/>
  <c r="X389" i="5"/>
  <c r="X524" i="5"/>
  <c r="X474" i="5"/>
  <c r="X489" i="5"/>
  <c r="X536" i="5"/>
  <c r="X267" i="5"/>
  <c r="X299" i="5"/>
  <c r="X468" i="5"/>
  <c r="X528" i="5"/>
  <c r="X430" i="5"/>
  <c r="X304" i="5"/>
  <c r="X333" i="5"/>
  <c r="X296" i="5"/>
  <c r="X305" i="5"/>
  <c r="X591" i="5"/>
  <c r="X394" i="5"/>
  <c r="X532" i="5"/>
  <c r="S532" i="5"/>
  <c r="X437" i="5"/>
  <c r="X484" i="5"/>
  <c r="X457" i="5"/>
  <c r="X512" i="5"/>
  <c r="X608" i="5"/>
  <c r="X560" i="5"/>
  <c r="X385" i="5"/>
  <c r="X544" i="5"/>
  <c r="X574" i="5"/>
  <c r="X533" i="5"/>
  <c r="X354" i="5"/>
  <c r="S354" i="5"/>
  <c r="X540" i="5"/>
  <c r="X587" i="5"/>
  <c r="X329" i="5"/>
  <c r="X390" i="5"/>
  <c r="X601" i="5"/>
  <c r="S601" i="5"/>
  <c r="X561" i="5"/>
  <c r="X349" i="5"/>
  <c r="X572" i="5"/>
  <c r="X429" i="5"/>
  <c r="X586" i="5"/>
  <c r="X449" i="5"/>
  <c r="X496" i="5"/>
  <c r="X311" i="5"/>
  <c r="X357" i="5"/>
  <c r="X433" i="5"/>
  <c r="X548" i="5"/>
  <c r="X602" i="5"/>
  <c r="S602" i="5"/>
  <c r="X476" i="5"/>
  <c r="X291" i="5"/>
  <c r="X373" i="5"/>
  <c r="X393" i="5"/>
  <c r="X604" i="5"/>
  <c r="S604" i="5"/>
  <c r="X442" i="5"/>
  <c r="X421" i="5"/>
  <c r="X570" i="5"/>
  <c r="X417" i="5"/>
  <c r="X580" i="5"/>
  <c r="X553" i="5"/>
  <c r="X606" i="5"/>
  <c r="S606" i="5"/>
  <c r="X425" i="5"/>
  <c r="X488" i="5"/>
  <c r="X578" i="5"/>
  <c r="X556" i="5"/>
  <c r="X500" i="5"/>
  <c r="X341" i="5"/>
  <c r="X472" i="5"/>
  <c r="X441" i="5"/>
  <c r="X323" i="5"/>
  <c r="X508" i="5"/>
  <c r="X302" i="5"/>
  <c r="X434" i="5"/>
  <c r="X575" i="5"/>
  <c r="X579" i="5"/>
  <c r="X555" i="5"/>
  <c r="X313" i="5"/>
  <c r="S313" i="5"/>
  <c r="X462" i="5"/>
  <c r="X473" i="5"/>
  <c r="X592" i="5"/>
  <c r="X413" i="5"/>
  <c r="X459" i="5"/>
  <c r="X271" i="5"/>
  <c r="X584" i="5"/>
  <c r="X283" i="5"/>
  <c r="X582" i="5"/>
  <c r="X418" i="5"/>
  <c r="X414" i="5"/>
  <c r="X292" i="5"/>
  <c r="X607" i="5"/>
  <c r="X573"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V10" i="5"/>
  <c r="AB16" i="5"/>
  <c r="AB8" i="5"/>
  <c r="V9" i="5"/>
  <c r="AB13" i="5"/>
  <c r="AB15" i="5"/>
  <c r="V8" i="5"/>
  <c r="AB11" i="5"/>
  <c r="V15" i="5"/>
  <c r="G15" i="5" s="1"/>
  <c r="AB7" i="5"/>
  <c r="V13" i="5"/>
  <c r="G13" i="5" s="1"/>
  <c r="V7" i="5"/>
  <c r="H49" i="6"/>
  <c r="D49" i="6" s="1"/>
  <c r="H34" i="6"/>
  <c r="H32" i="6"/>
  <c r="C45" i="6"/>
  <c r="C51" i="6"/>
  <c r="D19" i="6"/>
  <c r="C19" i="6"/>
  <c r="K65" i="6"/>
  <c r="D27" i="6"/>
  <c r="C27" i="6"/>
  <c r="C36" i="6"/>
  <c r="C42"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9" i="5"/>
  <c r="S442" i="5"/>
  <c r="S323" i="5"/>
  <c r="S418" i="5"/>
  <c r="S588" i="5"/>
  <c r="S520" i="5"/>
  <c r="S471" i="5"/>
  <c r="S295"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286" i="5"/>
  <c r="S374" i="5"/>
  <c r="S361" i="5"/>
  <c r="S377" i="5"/>
  <c r="S338" i="5"/>
  <c r="S369" i="5"/>
  <c r="S516" i="5"/>
  <c r="S422" i="5"/>
  <c r="S307" i="5"/>
  <c r="S287" i="5"/>
  <c r="S474" i="5"/>
  <c r="S528" i="5"/>
  <c r="S333" i="5"/>
  <c r="S305" i="5"/>
  <c r="S457" i="5"/>
  <c r="S385" i="5"/>
  <c r="S533" i="5"/>
  <c r="S329" i="5"/>
  <c r="S586" i="5"/>
  <c r="S553" i="5"/>
  <c r="S508" i="5"/>
  <c r="S521" i="5"/>
  <c r="S280" i="5"/>
  <c r="S564" i="5"/>
  <c r="S327"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296" i="5"/>
  <c r="S512" i="5"/>
  <c r="S349" i="5"/>
  <c r="S357" i="5"/>
  <c r="S291" i="5"/>
  <c r="S417" i="5"/>
  <c r="S556" i="5"/>
  <c r="S302" i="5"/>
  <c r="S555" i="5"/>
  <c r="S283" i="5"/>
  <c r="S548" i="5"/>
  <c r="S580" i="5"/>
  <c r="S579" i="5"/>
  <c r="S410" i="5"/>
  <c r="S445" i="5"/>
  <c r="S536" i="5"/>
  <c r="S299" i="5"/>
  <c r="S484" i="5"/>
  <c r="S540" i="5"/>
  <c r="S572" i="5"/>
  <c r="S373" i="5"/>
  <c r="S425" i="5"/>
  <c r="S500" i="5"/>
  <c r="S459" i="5"/>
  <c r="S292" i="5"/>
  <c r="S560" i="5"/>
  <c r="S311" i="5"/>
  <c r="S421" i="5"/>
  <c r="S573" i="5"/>
  <c r="S504" i="5"/>
  <c r="S345" i="5"/>
  <c r="S576" i="5"/>
  <c r="S465" i="5"/>
  <c r="S426" i="5"/>
  <c r="S517" i="5"/>
  <c r="S523" i="5"/>
  <c r="S319" i="5"/>
  <c r="S405" i="5"/>
  <c r="S358" i="5"/>
  <c r="S505" i="5"/>
  <c r="S315" i="5"/>
  <c r="S389" i="5"/>
  <c r="S304" i="5"/>
  <c r="S394" i="5"/>
  <c r="S608" i="5"/>
  <c r="S574" i="5"/>
  <c r="S496" i="5"/>
  <c r="S433" i="5"/>
  <c r="S473" i="5"/>
  <c r="S584" i="5"/>
  <c r="S582" i="5"/>
  <c r="S587" i="5"/>
  <c r="S488" i="5"/>
  <c r="S592" i="5"/>
  <c r="T210" i="5"/>
  <c r="T267" i="5"/>
  <c r="T279" i="5"/>
  <c r="S270" i="5"/>
  <c r="S271" i="5"/>
  <c r="S210" i="5"/>
  <c r="T90" i="5"/>
  <c r="S242" i="5"/>
  <c r="T114" i="5"/>
  <c r="T275" i="5"/>
  <c r="S278" i="5"/>
  <c r="S274" i="5"/>
  <c r="S114" i="5"/>
  <c r="T250" i="5"/>
  <c r="S268" i="5"/>
  <c r="T242" i="5"/>
  <c r="S279" i="5"/>
  <c r="S250" i="5"/>
  <c r="S275" i="5"/>
  <c r="S264" i="5"/>
  <c r="T146" i="5"/>
  <c r="T188" i="5"/>
  <c r="S276" i="5"/>
  <c r="T276" i="5"/>
  <c r="S267" i="5"/>
  <c r="S266" i="5"/>
  <c r="T271" i="5"/>
  <c r="H174" i="5" l="1"/>
  <c r="J162" i="5"/>
  <c r="G162" i="5"/>
  <c r="I174" i="5"/>
  <c r="E174" i="5"/>
  <c r="X174" i="5" s="1"/>
  <c r="G155" i="5"/>
  <c r="H162" i="5"/>
  <c r="F162" i="5"/>
  <c r="R119" i="5"/>
  <c r="I162" i="5"/>
  <c r="E162" i="5"/>
  <c r="R174" i="5"/>
  <c r="G119" i="5"/>
  <c r="H119" i="5"/>
  <c r="E193" i="5"/>
  <c r="X193" i="5" s="1"/>
  <c r="G193" i="5"/>
  <c r="F193" i="5"/>
  <c r="E219" i="5"/>
  <c r="R193" i="5"/>
  <c r="F247" i="5"/>
  <c r="J193" i="5"/>
  <c r="E183" i="5"/>
  <c r="R219" i="5"/>
  <c r="G247" i="5"/>
  <c r="E119" i="5"/>
  <c r="F183" i="5"/>
  <c r="G183" i="5"/>
  <c r="I183" i="5"/>
  <c r="I119" i="5"/>
  <c r="H188" i="5"/>
  <c r="I155" i="5"/>
  <c r="F190" i="5"/>
  <c r="H190" i="5"/>
  <c r="J190" i="5"/>
  <c r="I190" i="5"/>
  <c r="E190" i="5"/>
  <c r="G190" i="5"/>
  <c r="H155" i="5"/>
  <c r="G111" i="5"/>
  <c r="R111" i="5"/>
  <c r="I111" i="5"/>
  <c r="E111" i="5"/>
  <c r="F111" i="5"/>
  <c r="J111" i="5"/>
  <c r="H111" i="5"/>
  <c r="J119" i="5"/>
  <c r="G175" i="5"/>
  <c r="J175" i="5"/>
  <c r="H175" i="5"/>
  <c r="F175" i="5"/>
  <c r="R175" i="5"/>
  <c r="E175" i="5"/>
  <c r="G239" i="5"/>
  <c r="E239" i="5"/>
  <c r="R239" i="5"/>
  <c r="J239" i="5"/>
  <c r="F239" i="5"/>
  <c r="I239" i="5"/>
  <c r="H239" i="5"/>
  <c r="R190" i="5"/>
  <c r="H219" i="5"/>
  <c r="H247" i="5"/>
  <c r="E247" i="5"/>
  <c r="J155" i="5"/>
  <c r="E155" i="5"/>
  <c r="R188" i="5"/>
  <c r="I188" i="5"/>
  <c r="F188" i="5"/>
  <c r="E188" i="5"/>
  <c r="G188" i="5"/>
  <c r="J219" i="5"/>
  <c r="F219" i="5"/>
  <c r="G219" i="5"/>
  <c r="I247" i="5"/>
  <c r="J247" i="5"/>
  <c r="J174" i="5"/>
  <c r="F174" i="5"/>
  <c r="J183" i="5"/>
  <c r="R183" i="5"/>
  <c r="G238" i="5"/>
  <c r="J238" i="5"/>
  <c r="I238" i="5"/>
  <c r="E238" i="5"/>
  <c r="F238" i="5"/>
  <c r="F155" i="5"/>
  <c r="G159" i="5"/>
  <c r="F159" i="5"/>
  <c r="R159" i="5"/>
  <c r="I159" i="5"/>
  <c r="E159" i="5"/>
  <c r="J159" i="5"/>
  <c r="H159" i="5"/>
  <c r="E223" i="5"/>
  <c r="R223" i="5"/>
  <c r="J223" i="5"/>
  <c r="I223" i="5"/>
  <c r="H223" i="5"/>
  <c r="G223" i="5"/>
  <c r="F223" i="5"/>
  <c r="J255" i="5"/>
  <c r="H255" i="5"/>
  <c r="G255" i="5"/>
  <c r="F255" i="5"/>
  <c r="E255" i="5"/>
  <c r="R255" i="5"/>
  <c r="I255" i="5"/>
  <c r="I129" i="5"/>
  <c r="F129" i="5"/>
  <c r="E129" i="5"/>
  <c r="R129" i="5"/>
  <c r="J129" i="5"/>
  <c r="H129" i="5"/>
  <c r="G129" i="5"/>
  <c r="J208" i="5"/>
  <c r="E208" i="5"/>
  <c r="I208" i="5"/>
  <c r="H208" i="5"/>
  <c r="R208" i="5"/>
  <c r="F208" i="5"/>
  <c r="G208" i="5"/>
  <c r="R43" i="5"/>
  <c r="I43" i="5"/>
  <c r="J43" i="5"/>
  <c r="H43" i="5"/>
  <c r="F43" i="5"/>
  <c r="E43" i="5"/>
  <c r="G43" i="5"/>
  <c r="H89" i="5"/>
  <c r="I89" i="5"/>
  <c r="R89" i="5"/>
  <c r="E89" i="5"/>
  <c r="F89" i="5"/>
  <c r="J89" i="5"/>
  <c r="G89" i="5"/>
  <c r="G139" i="5"/>
  <c r="R139" i="5"/>
  <c r="H139" i="5"/>
  <c r="F139" i="5"/>
  <c r="J139" i="5"/>
  <c r="I139" i="5"/>
  <c r="E139" i="5"/>
  <c r="F104" i="5"/>
  <c r="R104" i="5"/>
  <c r="E104" i="5"/>
  <c r="J104" i="5"/>
  <c r="I104" i="5"/>
  <c r="H104" i="5"/>
  <c r="G104" i="5"/>
  <c r="F257" i="5"/>
  <c r="E257" i="5"/>
  <c r="R257" i="5"/>
  <c r="J257" i="5"/>
  <c r="I257" i="5"/>
  <c r="H257" i="5"/>
  <c r="G257" i="5"/>
  <c r="J143" i="5"/>
  <c r="H143" i="5"/>
  <c r="R143" i="5"/>
  <c r="I143" i="5"/>
  <c r="G143" i="5"/>
  <c r="F143" i="5"/>
  <c r="E143" i="5"/>
  <c r="G131" i="5"/>
  <c r="I131" i="5"/>
  <c r="E131" i="5"/>
  <c r="J131" i="5"/>
  <c r="H131" i="5"/>
  <c r="F131" i="5"/>
  <c r="R131" i="5"/>
  <c r="R88" i="5"/>
  <c r="E88" i="5"/>
  <c r="I88" i="5"/>
  <c r="F88" i="5"/>
  <c r="J88" i="5"/>
  <c r="H88" i="5"/>
  <c r="G88" i="5"/>
  <c r="R205" i="5"/>
  <c r="J205" i="5"/>
  <c r="I205" i="5"/>
  <c r="E205" i="5"/>
  <c r="F205" i="5"/>
  <c r="H205" i="5"/>
  <c r="G205" i="5"/>
  <c r="H50" i="5"/>
  <c r="R50" i="5"/>
  <c r="J50" i="5"/>
  <c r="E50" i="5"/>
  <c r="I50" i="5"/>
  <c r="F50" i="5"/>
  <c r="G50" i="5"/>
  <c r="I185" i="5"/>
  <c r="H185" i="5"/>
  <c r="R185" i="5"/>
  <c r="J185" i="5"/>
  <c r="E185" i="5"/>
  <c r="F185" i="5"/>
  <c r="G185" i="5"/>
  <c r="J180" i="5"/>
  <c r="I180" i="5"/>
  <c r="H180" i="5"/>
  <c r="E180" i="5"/>
  <c r="F180" i="5"/>
  <c r="R180" i="5"/>
  <c r="G180" i="5"/>
  <c r="E78" i="5"/>
  <c r="I78" i="5"/>
  <c r="J78" i="5"/>
  <c r="H78" i="5"/>
  <c r="R78" i="5"/>
  <c r="F78" i="5"/>
  <c r="G78" i="5"/>
  <c r="E26" i="5"/>
  <c r="R26" i="5"/>
  <c r="J26" i="5"/>
  <c r="H26" i="5"/>
  <c r="I26" i="5"/>
  <c r="F26" i="5"/>
  <c r="G26" i="5"/>
  <c r="G199" i="5"/>
  <c r="H199" i="5"/>
  <c r="I199" i="5"/>
  <c r="F199" i="5"/>
  <c r="R199" i="5"/>
  <c r="E199" i="5"/>
  <c r="J199" i="5"/>
  <c r="G115" i="5"/>
  <c r="H115" i="5"/>
  <c r="F115" i="5"/>
  <c r="R115" i="5"/>
  <c r="E115" i="5"/>
  <c r="I115" i="5"/>
  <c r="J115" i="5"/>
  <c r="G259" i="5"/>
  <c r="H259" i="5"/>
  <c r="F259" i="5"/>
  <c r="E259" i="5"/>
  <c r="I259" i="5"/>
  <c r="R259" i="5"/>
  <c r="J259" i="5"/>
  <c r="H116" i="5"/>
  <c r="F116" i="5"/>
  <c r="J116" i="5"/>
  <c r="R116" i="5"/>
  <c r="E116" i="5"/>
  <c r="I116" i="5"/>
  <c r="G116" i="5"/>
  <c r="R244" i="5"/>
  <c r="F244" i="5"/>
  <c r="E244" i="5"/>
  <c r="H244" i="5"/>
  <c r="J244" i="5"/>
  <c r="I244" i="5"/>
  <c r="G244" i="5"/>
  <c r="R142" i="5"/>
  <c r="J142" i="5"/>
  <c r="F142" i="5"/>
  <c r="I142" i="5"/>
  <c r="E142" i="5"/>
  <c r="H142" i="5"/>
  <c r="G142" i="5"/>
  <c r="J154" i="5"/>
  <c r="I154" i="5"/>
  <c r="E154" i="5"/>
  <c r="F154" i="5"/>
  <c r="H154" i="5"/>
  <c r="R154" i="5"/>
  <c r="G154" i="5"/>
  <c r="H86" i="5"/>
  <c r="I86" i="5"/>
  <c r="F86" i="5"/>
  <c r="R86" i="5"/>
  <c r="J86" i="5"/>
  <c r="E86" i="5"/>
  <c r="G86" i="5"/>
  <c r="R38" i="5"/>
  <c r="R87" i="5"/>
  <c r="I87" i="5"/>
  <c r="J87" i="5"/>
  <c r="H87" i="5"/>
  <c r="E87" i="5"/>
  <c r="F87" i="5"/>
  <c r="G87" i="5"/>
  <c r="R37" i="5"/>
  <c r="H182" i="5"/>
  <c r="F182" i="5"/>
  <c r="E182" i="5"/>
  <c r="I182" i="5"/>
  <c r="R182" i="5"/>
  <c r="J182" i="5"/>
  <c r="G182" i="5"/>
  <c r="H70" i="5"/>
  <c r="F70" i="5"/>
  <c r="J70" i="5"/>
  <c r="R70" i="5"/>
  <c r="I70" i="5"/>
  <c r="E70" i="5"/>
  <c r="G70" i="5"/>
  <c r="R59" i="5"/>
  <c r="I59" i="5"/>
  <c r="E59" i="5"/>
  <c r="J59" i="5"/>
  <c r="H59" i="5"/>
  <c r="F59" i="5"/>
  <c r="G59" i="5"/>
  <c r="E256" i="5"/>
  <c r="R256" i="5"/>
  <c r="F256" i="5"/>
  <c r="H256" i="5"/>
  <c r="J256" i="5"/>
  <c r="I256" i="5"/>
  <c r="G256" i="5"/>
  <c r="R184" i="5"/>
  <c r="I184" i="5"/>
  <c r="H184" i="5"/>
  <c r="J184" i="5"/>
  <c r="F184" i="5"/>
  <c r="E184" i="5"/>
  <c r="G184" i="5"/>
  <c r="R36" i="5"/>
  <c r="T274" i="5"/>
  <c r="X274" i="5"/>
  <c r="R274" i="5"/>
  <c r="R218" i="5"/>
  <c r="H218" i="5"/>
  <c r="I218" i="5"/>
  <c r="F218" i="5"/>
  <c r="E218" i="5"/>
  <c r="J218" i="5"/>
  <c r="G218" i="5"/>
  <c r="G243" i="5"/>
  <c r="J243" i="5"/>
  <c r="H243" i="5"/>
  <c r="F243" i="5"/>
  <c r="I243" i="5"/>
  <c r="E243" i="5"/>
  <c r="R243" i="5"/>
  <c r="G227" i="5"/>
  <c r="H227" i="5"/>
  <c r="F227" i="5"/>
  <c r="E227" i="5"/>
  <c r="J227" i="5"/>
  <c r="I227" i="5"/>
  <c r="R227" i="5"/>
  <c r="E189" i="5"/>
  <c r="I189" i="5"/>
  <c r="H189" i="5"/>
  <c r="F189" i="5"/>
  <c r="R189" i="5"/>
  <c r="J189" i="5"/>
  <c r="G189" i="5"/>
  <c r="G215" i="5"/>
  <c r="I215" i="5"/>
  <c r="H215" i="5"/>
  <c r="F215" i="5"/>
  <c r="R215" i="5"/>
  <c r="E215" i="5"/>
  <c r="J215" i="5"/>
  <c r="J186" i="5"/>
  <c r="E186" i="5"/>
  <c r="R186" i="5"/>
  <c r="I186" i="5"/>
  <c r="F186" i="5"/>
  <c r="H186" i="5"/>
  <c r="G186" i="5"/>
  <c r="G103" i="5"/>
  <c r="R103" i="5"/>
  <c r="I103" i="5"/>
  <c r="E103" i="5"/>
  <c r="J103" i="5"/>
  <c r="H103" i="5"/>
  <c r="F103" i="5"/>
  <c r="R83" i="5"/>
  <c r="I83" i="5"/>
  <c r="J83" i="5"/>
  <c r="E83" i="5"/>
  <c r="H83" i="5"/>
  <c r="F83" i="5"/>
  <c r="G83" i="5"/>
  <c r="R61" i="5"/>
  <c r="H61" i="5"/>
  <c r="E61" i="5"/>
  <c r="F61" i="5"/>
  <c r="I61" i="5"/>
  <c r="J61" i="5"/>
  <c r="G61" i="5"/>
  <c r="R152" i="5"/>
  <c r="J152" i="5"/>
  <c r="I152" i="5"/>
  <c r="H152" i="5"/>
  <c r="F152" i="5"/>
  <c r="E152" i="5"/>
  <c r="G152" i="5"/>
  <c r="I25" i="5"/>
  <c r="E25" i="5"/>
  <c r="F25" i="5"/>
  <c r="J25" i="5"/>
  <c r="H25" i="5"/>
  <c r="R25" i="5"/>
  <c r="G25" i="5"/>
  <c r="R20" i="5"/>
  <c r="E194" i="5"/>
  <c r="R194" i="5"/>
  <c r="I194" i="5"/>
  <c r="J194" i="5"/>
  <c r="H194" i="5"/>
  <c r="F194" i="5"/>
  <c r="G194" i="5"/>
  <c r="H241" i="5"/>
  <c r="F241" i="5"/>
  <c r="E241" i="5"/>
  <c r="R241" i="5"/>
  <c r="J241" i="5"/>
  <c r="I241" i="5"/>
  <c r="G241" i="5"/>
  <c r="R252" i="5"/>
  <c r="E252" i="5"/>
  <c r="F252" i="5"/>
  <c r="H252" i="5"/>
  <c r="J252" i="5"/>
  <c r="I252" i="5"/>
  <c r="H22" i="5"/>
  <c r="I22" i="5"/>
  <c r="E22" i="5"/>
  <c r="F22" i="5"/>
  <c r="J22" i="5"/>
  <c r="R22" i="5"/>
  <c r="R120" i="5"/>
  <c r="H120" i="5"/>
  <c r="J120" i="5"/>
  <c r="E120" i="5"/>
  <c r="I120" i="5"/>
  <c r="F120" i="5"/>
  <c r="I137" i="5"/>
  <c r="F137" i="5"/>
  <c r="R137" i="5"/>
  <c r="J137" i="5"/>
  <c r="H137" i="5"/>
  <c r="E137" i="5"/>
  <c r="R34" i="5"/>
  <c r="G179" i="5"/>
  <c r="F179" i="5"/>
  <c r="J179" i="5"/>
  <c r="H179" i="5"/>
  <c r="R179" i="5"/>
  <c r="I179" i="5"/>
  <c r="E179" i="5"/>
  <c r="R132" i="5"/>
  <c r="F132" i="5"/>
  <c r="J132" i="5"/>
  <c r="I132" i="5"/>
  <c r="E132" i="5"/>
  <c r="H132" i="5"/>
  <c r="I125" i="5"/>
  <c r="H125" i="5"/>
  <c r="E125" i="5"/>
  <c r="F125" i="5"/>
  <c r="R125" i="5"/>
  <c r="J125" i="5"/>
  <c r="H222" i="5"/>
  <c r="R222" i="5"/>
  <c r="J222" i="5"/>
  <c r="F222" i="5"/>
  <c r="I222" i="5"/>
  <c r="E222" i="5"/>
  <c r="F144" i="5"/>
  <c r="E144" i="5"/>
  <c r="J144" i="5"/>
  <c r="I144" i="5"/>
  <c r="H144" i="5"/>
  <c r="R144" i="5"/>
  <c r="E209" i="5"/>
  <c r="R209" i="5"/>
  <c r="J209" i="5"/>
  <c r="I209" i="5"/>
  <c r="H209" i="5"/>
  <c r="F209" i="5"/>
  <c r="I106" i="5"/>
  <c r="E106" i="5"/>
  <c r="J106" i="5"/>
  <c r="R106" i="5"/>
  <c r="F106" i="5"/>
  <c r="H106" i="5"/>
  <c r="X268" i="5"/>
  <c r="R268" i="5"/>
  <c r="R40" i="5"/>
  <c r="I151" i="5"/>
  <c r="J151" i="5"/>
  <c r="F151" i="5"/>
  <c r="E151" i="5"/>
  <c r="G151" i="5"/>
  <c r="R151" i="5"/>
  <c r="H151" i="5"/>
  <c r="R195" i="5"/>
  <c r="I195" i="5"/>
  <c r="E195" i="5"/>
  <c r="J195" i="5"/>
  <c r="G195" i="5"/>
  <c r="F195" i="5"/>
  <c r="H195" i="5"/>
  <c r="R33" i="5"/>
  <c r="H33" i="5"/>
  <c r="E33" i="5"/>
  <c r="F33" i="5"/>
  <c r="J33" i="5"/>
  <c r="I33" i="5"/>
  <c r="H69" i="5"/>
  <c r="E69" i="5"/>
  <c r="R69" i="5"/>
  <c r="I69" i="5"/>
  <c r="F69" i="5"/>
  <c r="J69" i="5"/>
  <c r="G203" i="5"/>
  <c r="J203" i="5"/>
  <c r="H203" i="5"/>
  <c r="I203" i="5"/>
  <c r="E203" i="5"/>
  <c r="F203" i="5"/>
  <c r="R203" i="5"/>
  <c r="R92" i="5"/>
  <c r="I92" i="5"/>
  <c r="E92" i="5"/>
  <c r="F92" i="5"/>
  <c r="J92" i="5"/>
  <c r="H92" i="5"/>
  <c r="F224" i="5"/>
  <c r="E224" i="5"/>
  <c r="R224" i="5"/>
  <c r="H224" i="5"/>
  <c r="J224" i="5"/>
  <c r="I224" i="5"/>
  <c r="H167" i="5"/>
  <c r="I167" i="5"/>
  <c r="J167" i="5"/>
  <c r="F167" i="5"/>
  <c r="R167" i="5"/>
  <c r="E167" i="5"/>
  <c r="G167" i="5"/>
  <c r="E105" i="5"/>
  <c r="I105" i="5"/>
  <c r="F105" i="5"/>
  <c r="H105" i="5"/>
  <c r="R105" i="5"/>
  <c r="J105" i="5"/>
  <c r="G147" i="5"/>
  <c r="F147" i="5"/>
  <c r="E147" i="5"/>
  <c r="R147" i="5"/>
  <c r="I147" i="5"/>
  <c r="H147" i="5"/>
  <c r="J147" i="5"/>
  <c r="G100" i="5"/>
  <c r="F100" i="5"/>
  <c r="J100" i="5"/>
  <c r="I100" i="5"/>
  <c r="H100" i="5"/>
  <c r="R100" i="5"/>
  <c r="E100" i="5"/>
  <c r="R126" i="5"/>
  <c r="J126" i="5"/>
  <c r="I126" i="5"/>
  <c r="F126" i="5"/>
  <c r="E126" i="5"/>
  <c r="H126" i="5"/>
  <c r="R47" i="5"/>
  <c r="I47" i="5"/>
  <c r="J47" i="5"/>
  <c r="H47" i="5"/>
  <c r="F47" i="5"/>
  <c r="E47" i="5"/>
  <c r="E202" i="5"/>
  <c r="F202" i="5"/>
  <c r="H202" i="5"/>
  <c r="R202" i="5"/>
  <c r="J202" i="5"/>
  <c r="I202" i="5"/>
  <c r="E216" i="5"/>
  <c r="F216" i="5"/>
  <c r="R216" i="5"/>
  <c r="J216" i="5"/>
  <c r="I216" i="5"/>
  <c r="H216" i="5"/>
  <c r="R236" i="5"/>
  <c r="F236" i="5"/>
  <c r="E236" i="5"/>
  <c r="J236" i="5"/>
  <c r="I236" i="5"/>
  <c r="H236" i="5"/>
  <c r="H249" i="5"/>
  <c r="F249" i="5"/>
  <c r="E249" i="5"/>
  <c r="R249" i="5"/>
  <c r="J249" i="5"/>
  <c r="I249" i="5"/>
  <c r="E56" i="5"/>
  <c r="I56" i="5"/>
  <c r="F56" i="5"/>
  <c r="R56" i="5"/>
  <c r="J56" i="5"/>
  <c r="H56" i="5"/>
  <c r="R31" i="5"/>
  <c r="E149" i="5"/>
  <c r="F149" i="5"/>
  <c r="R149" i="5"/>
  <c r="H149" i="5"/>
  <c r="I149" i="5"/>
  <c r="J149" i="5"/>
  <c r="J246" i="5"/>
  <c r="H246" i="5"/>
  <c r="I246" i="5"/>
  <c r="E246" i="5"/>
  <c r="F246" i="5"/>
  <c r="R246" i="5"/>
  <c r="E231" i="5"/>
  <c r="R231" i="5"/>
  <c r="J231" i="5"/>
  <c r="I231" i="5"/>
  <c r="H231" i="5"/>
  <c r="F231" i="5"/>
  <c r="G231" i="5"/>
  <c r="H258" i="5"/>
  <c r="E258" i="5"/>
  <c r="R258" i="5"/>
  <c r="J258" i="5"/>
  <c r="I258" i="5"/>
  <c r="F258" i="5"/>
  <c r="H211" i="5"/>
  <c r="G211" i="5"/>
  <c r="R211" i="5"/>
  <c r="J211" i="5"/>
  <c r="I211" i="5"/>
  <c r="F211" i="5"/>
  <c r="E211" i="5"/>
  <c r="G164" i="5"/>
  <c r="J164" i="5"/>
  <c r="I164" i="5"/>
  <c r="R164" i="5"/>
  <c r="H164" i="5"/>
  <c r="F164" i="5"/>
  <c r="E164" i="5"/>
  <c r="R49" i="5"/>
  <c r="E49" i="5"/>
  <c r="I49" i="5"/>
  <c r="H49" i="5"/>
  <c r="F49" i="5"/>
  <c r="J49" i="5"/>
  <c r="I141" i="5"/>
  <c r="H141" i="5"/>
  <c r="E141" i="5"/>
  <c r="F141" i="5"/>
  <c r="R141" i="5"/>
  <c r="J141" i="5"/>
  <c r="E134" i="5"/>
  <c r="H134" i="5"/>
  <c r="F134" i="5"/>
  <c r="R134" i="5"/>
  <c r="J134" i="5"/>
  <c r="I134" i="5"/>
  <c r="R272" i="5"/>
  <c r="X272" i="5"/>
  <c r="H18" i="5"/>
  <c r="R18" i="5"/>
  <c r="J18" i="5"/>
  <c r="E18" i="5"/>
  <c r="I18" i="5"/>
  <c r="F18" i="5"/>
  <c r="F108" i="5"/>
  <c r="R108" i="5"/>
  <c r="J108" i="5"/>
  <c r="I108" i="5"/>
  <c r="H108" i="5"/>
  <c r="E108" i="5"/>
  <c r="R84" i="5"/>
  <c r="I84" i="5"/>
  <c r="F84" i="5"/>
  <c r="E84" i="5"/>
  <c r="J84" i="5"/>
  <c r="H84" i="5"/>
  <c r="R35" i="5"/>
  <c r="I35" i="5"/>
  <c r="J35" i="5"/>
  <c r="H35" i="5"/>
  <c r="E35" i="5"/>
  <c r="F35" i="5"/>
  <c r="G206" i="5"/>
  <c r="J206" i="5"/>
  <c r="H206" i="5"/>
  <c r="E206" i="5"/>
  <c r="I206" i="5"/>
  <c r="F206" i="5"/>
  <c r="R206" i="5"/>
  <c r="R63" i="5"/>
  <c r="I63" i="5"/>
  <c r="J63" i="5"/>
  <c r="H63" i="5"/>
  <c r="E63" i="5"/>
  <c r="F63" i="5"/>
  <c r="G107" i="5"/>
  <c r="I107" i="5"/>
  <c r="J107" i="5"/>
  <c r="H107" i="5"/>
  <c r="F107" i="5"/>
  <c r="E107" i="5"/>
  <c r="R107" i="5"/>
  <c r="I157" i="5"/>
  <c r="E157" i="5"/>
  <c r="H157" i="5"/>
  <c r="J157" i="5"/>
  <c r="F157" i="5"/>
  <c r="R157" i="5"/>
  <c r="R150" i="5"/>
  <c r="J150" i="5"/>
  <c r="I150" i="5"/>
  <c r="F150" i="5"/>
  <c r="E150" i="5"/>
  <c r="G150" i="5"/>
  <c r="H150" i="5"/>
  <c r="I201" i="5"/>
  <c r="E201" i="5"/>
  <c r="R201" i="5"/>
  <c r="J201" i="5"/>
  <c r="H201" i="5"/>
  <c r="F201" i="5"/>
  <c r="E98" i="5"/>
  <c r="I98" i="5"/>
  <c r="F98" i="5"/>
  <c r="H98" i="5"/>
  <c r="R98" i="5"/>
  <c r="J98" i="5"/>
  <c r="R196" i="5"/>
  <c r="F196" i="5"/>
  <c r="J196" i="5"/>
  <c r="I196" i="5"/>
  <c r="H196" i="5"/>
  <c r="E196" i="5"/>
  <c r="R30" i="5"/>
  <c r="R176" i="5"/>
  <c r="F176" i="5"/>
  <c r="H176" i="5"/>
  <c r="E176" i="5"/>
  <c r="J176" i="5"/>
  <c r="I176" i="5"/>
  <c r="I17" i="5"/>
  <c r="F17" i="5"/>
  <c r="E17" i="5"/>
  <c r="J17" i="5"/>
  <c r="H17" i="5"/>
  <c r="R17" i="5"/>
  <c r="R273" i="5"/>
  <c r="X273" i="5"/>
  <c r="I170" i="5"/>
  <c r="R170" i="5"/>
  <c r="J170" i="5"/>
  <c r="E170" i="5"/>
  <c r="H170" i="5"/>
  <c r="F170" i="5"/>
  <c r="G123" i="5"/>
  <c r="F123" i="5"/>
  <c r="R123" i="5"/>
  <c r="E123" i="5"/>
  <c r="I123" i="5"/>
  <c r="J123" i="5"/>
  <c r="H123" i="5"/>
  <c r="R76" i="5"/>
  <c r="T76" i="5"/>
  <c r="H221" i="5"/>
  <c r="F221" i="5"/>
  <c r="E221" i="5"/>
  <c r="R221" i="5"/>
  <c r="J221" i="5"/>
  <c r="I221" i="5"/>
  <c r="F102" i="5"/>
  <c r="I102" i="5"/>
  <c r="E102" i="5"/>
  <c r="H102" i="5"/>
  <c r="J102" i="5"/>
  <c r="G102" i="5"/>
  <c r="R102" i="5"/>
  <c r="E192" i="5"/>
  <c r="F192" i="5"/>
  <c r="H192" i="5"/>
  <c r="J192" i="5"/>
  <c r="R192" i="5"/>
  <c r="I192" i="5"/>
  <c r="G160" i="5"/>
  <c r="E160" i="5"/>
  <c r="J160" i="5"/>
  <c r="I160" i="5"/>
  <c r="F160" i="5"/>
  <c r="H160" i="5"/>
  <c r="R160" i="5"/>
  <c r="H24" i="5"/>
  <c r="I24" i="5"/>
  <c r="F24" i="5"/>
  <c r="E24" i="5"/>
  <c r="J24" i="5"/>
  <c r="R24" i="5"/>
  <c r="R97" i="5"/>
  <c r="E97" i="5"/>
  <c r="H97" i="5"/>
  <c r="I97" i="5"/>
  <c r="F97" i="5"/>
  <c r="J97" i="5"/>
  <c r="H229" i="5"/>
  <c r="F229" i="5"/>
  <c r="E229" i="5"/>
  <c r="R229" i="5"/>
  <c r="J229" i="5"/>
  <c r="I229" i="5"/>
  <c r="R156" i="5"/>
  <c r="F156" i="5"/>
  <c r="E156" i="5"/>
  <c r="I156" i="5"/>
  <c r="H156" i="5"/>
  <c r="J156" i="5"/>
  <c r="R169" i="5"/>
  <c r="T169" i="5"/>
  <c r="R254" i="5"/>
  <c r="H254" i="5"/>
  <c r="J254" i="5"/>
  <c r="T254" i="5" s="1"/>
  <c r="I254" i="5"/>
  <c r="E254" i="5"/>
  <c r="F254" i="5"/>
  <c r="R64" i="5"/>
  <c r="I64" i="5"/>
  <c r="E64" i="5"/>
  <c r="F64" i="5"/>
  <c r="J64" i="5"/>
  <c r="H64" i="5"/>
  <c r="T266" i="5"/>
  <c r="X266" i="5"/>
  <c r="R266" i="5"/>
  <c r="I173" i="5"/>
  <c r="E173" i="5"/>
  <c r="H173" i="5"/>
  <c r="R173" i="5"/>
  <c r="F173" i="5"/>
  <c r="J173" i="5"/>
  <c r="E93" i="5"/>
  <c r="H93" i="5"/>
  <c r="F93" i="5"/>
  <c r="J93" i="5"/>
  <c r="I93" i="5"/>
  <c r="R93" i="5"/>
  <c r="I99" i="5"/>
  <c r="J99" i="5"/>
  <c r="F99" i="5"/>
  <c r="E99" i="5"/>
  <c r="R99" i="5"/>
  <c r="G99" i="5"/>
  <c r="H99" i="5"/>
  <c r="R52" i="5"/>
  <c r="I52" i="5"/>
  <c r="F52" i="5"/>
  <c r="E52" i="5"/>
  <c r="J52" i="5"/>
  <c r="H52" i="5"/>
  <c r="R65" i="5"/>
  <c r="E65" i="5"/>
  <c r="H65" i="5"/>
  <c r="I65" i="5"/>
  <c r="F65" i="5"/>
  <c r="J65" i="5"/>
  <c r="R21" i="5"/>
  <c r="G171" i="5"/>
  <c r="F171" i="5"/>
  <c r="I171" i="5"/>
  <c r="J171" i="5"/>
  <c r="H171" i="5"/>
  <c r="E171" i="5"/>
  <c r="R171" i="5"/>
  <c r="G214" i="5"/>
  <c r="J214" i="5"/>
  <c r="I214" i="5"/>
  <c r="F214" i="5"/>
  <c r="R214" i="5"/>
  <c r="H214" i="5"/>
  <c r="E214" i="5"/>
  <c r="R71" i="5"/>
  <c r="I71" i="5"/>
  <c r="J71" i="5"/>
  <c r="H71" i="5"/>
  <c r="E71" i="5"/>
  <c r="F71" i="5"/>
  <c r="I133" i="5"/>
  <c r="H133" i="5"/>
  <c r="E133" i="5"/>
  <c r="J133" i="5"/>
  <c r="F133" i="5"/>
  <c r="R133" i="5"/>
  <c r="J260" i="5"/>
  <c r="H260" i="5"/>
  <c r="I260" i="5"/>
  <c r="R260" i="5"/>
  <c r="G260" i="5"/>
  <c r="E260" i="5"/>
  <c r="F260" i="5"/>
  <c r="G187" i="5"/>
  <c r="J187" i="5"/>
  <c r="R187" i="5"/>
  <c r="H187" i="5"/>
  <c r="F187" i="5"/>
  <c r="I187" i="5"/>
  <c r="E187" i="5"/>
  <c r="I153" i="5"/>
  <c r="H153" i="5"/>
  <c r="E153" i="5"/>
  <c r="F153" i="5"/>
  <c r="R153" i="5"/>
  <c r="J153" i="5"/>
  <c r="H178" i="5"/>
  <c r="R178" i="5"/>
  <c r="F178" i="5"/>
  <c r="E178" i="5"/>
  <c r="J178" i="5"/>
  <c r="I178" i="5"/>
  <c r="I197" i="5"/>
  <c r="E197" i="5"/>
  <c r="H197" i="5"/>
  <c r="F197" i="5"/>
  <c r="R197" i="5"/>
  <c r="J197" i="5"/>
  <c r="I148" i="5"/>
  <c r="H148" i="5"/>
  <c r="E148" i="5"/>
  <c r="F148" i="5"/>
  <c r="J148" i="5"/>
  <c r="R148" i="5"/>
  <c r="I46" i="5"/>
  <c r="H46" i="5"/>
  <c r="J46" i="5"/>
  <c r="E46" i="5"/>
  <c r="R46" i="5"/>
  <c r="F46" i="5"/>
  <c r="R240" i="5"/>
  <c r="F240" i="5"/>
  <c r="E240" i="5"/>
  <c r="J240" i="5"/>
  <c r="I240" i="5"/>
  <c r="H240" i="5"/>
  <c r="R95" i="5"/>
  <c r="I95" i="5"/>
  <c r="J95" i="5"/>
  <c r="E95" i="5"/>
  <c r="H95" i="5"/>
  <c r="F95" i="5"/>
  <c r="R80" i="5"/>
  <c r="I80" i="5"/>
  <c r="E80" i="5"/>
  <c r="F80" i="5"/>
  <c r="J80" i="5"/>
  <c r="T80" i="5" s="1"/>
  <c r="H80" i="5"/>
  <c r="H58" i="5"/>
  <c r="I58" i="5"/>
  <c r="R58" i="5"/>
  <c r="J58" i="5"/>
  <c r="E58" i="5"/>
  <c r="F58" i="5"/>
  <c r="H54" i="5"/>
  <c r="F54" i="5"/>
  <c r="R54" i="5"/>
  <c r="I54" i="5"/>
  <c r="E54" i="5"/>
  <c r="J54" i="5"/>
  <c r="R72" i="5"/>
  <c r="E72" i="5"/>
  <c r="I72" i="5"/>
  <c r="F72" i="5"/>
  <c r="H72" i="5"/>
  <c r="J72" i="5"/>
  <c r="R48" i="5"/>
  <c r="E48" i="5"/>
  <c r="I48" i="5"/>
  <c r="F48" i="5"/>
  <c r="J48" i="5"/>
  <c r="H48" i="5"/>
  <c r="E128" i="5"/>
  <c r="F128" i="5"/>
  <c r="J128" i="5"/>
  <c r="I128" i="5"/>
  <c r="R128" i="5"/>
  <c r="H128" i="5"/>
  <c r="E66" i="5"/>
  <c r="I66" i="5"/>
  <c r="F66" i="5"/>
  <c r="H66" i="5"/>
  <c r="R66" i="5"/>
  <c r="J66" i="5"/>
  <c r="F181" i="5"/>
  <c r="R181" i="5"/>
  <c r="J181" i="5"/>
  <c r="E181" i="5"/>
  <c r="I181" i="5"/>
  <c r="H181" i="5"/>
  <c r="X269" i="5"/>
  <c r="R269" i="5"/>
  <c r="T269" i="5"/>
  <c r="E228" i="5"/>
  <c r="R228" i="5"/>
  <c r="F228" i="5"/>
  <c r="H228" i="5"/>
  <c r="J228" i="5"/>
  <c r="I228" i="5"/>
  <c r="F168" i="5"/>
  <c r="R168" i="5"/>
  <c r="E168" i="5"/>
  <c r="J168" i="5"/>
  <c r="I168" i="5"/>
  <c r="H168" i="5"/>
  <c r="F113" i="5"/>
  <c r="H113" i="5"/>
  <c r="R113" i="5"/>
  <c r="E113" i="5"/>
  <c r="I113" i="5"/>
  <c r="J113" i="5"/>
  <c r="E27" i="5"/>
  <c r="J27" i="5"/>
  <c r="F27" i="5"/>
  <c r="H27" i="5"/>
  <c r="I27" i="5"/>
  <c r="R27" i="5"/>
  <c r="R232" i="5"/>
  <c r="F232" i="5"/>
  <c r="E232" i="5"/>
  <c r="I232" i="5"/>
  <c r="H232" i="5"/>
  <c r="J232" i="5"/>
  <c r="R198" i="5"/>
  <c r="J198" i="5"/>
  <c r="I198" i="5"/>
  <c r="F198" i="5"/>
  <c r="E198" i="5"/>
  <c r="H198" i="5"/>
  <c r="F117" i="5"/>
  <c r="R117" i="5"/>
  <c r="J117" i="5"/>
  <c r="E117" i="5"/>
  <c r="I117" i="5"/>
  <c r="H117" i="5"/>
  <c r="G127" i="5"/>
  <c r="I127" i="5"/>
  <c r="F127" i="5"/>
  <c r="J127" i="5"/>
  <c r="R127" i="5"/>
  <c r="H127" i="5"/>
  <c r="E127" i="5"/>
  <c r="H163" i="5"/>
  <c r="I163" i="5"/>
  <c r="G163" i="5"/>
  <c r="E163" i="5"/>
  <c r="R163" i="5"/>
  <c r="J163" i="5"/>
  <c r="F163" i="5"/>
  <c r="X270" i="5"/>
  <c r="R270" i="5"/>
  <c r="G191" i="5"/>
  <c r="J191" i="5"/>
  <c r="H191" i="5"/>
  <c r="R191" i="5"/>
  <c r="I191" i="5"/>
  <c r="E191" i="5"/>
  <c r="F191" i="5"/>
  <c r="G235" i="5"/>
  <c r="J235" i="5"/>
  <c r="I235" i="5"/>
  <c r="H235" i="5"/>
  <c r="E235" i="5"/>
  <c r="R235" i="5"/>
  <c r="F235" i="5"/>
  <c r="I60" i="5"/>
  <c r="E60" i="5"/>
  <c r="F60" i="5"/>
  <c r="R60" i="5"/>
  <c r="J60" i="5"/>
  <c r="H60" i="5"/>
  <c r="G135" i="5"/>
  <c r="E135" i="5"/>
  <c r="J135" i="5"/>
  <c r="R135" i="5"/>
  <c r="H135" i="5"/>
  <c r="I135" i="5"/>
  <c r="F135" i="5"/>
  <c r="X265" i="5"/>
  <c r="R265" i="5"/>
  <c r="R226" i="5"/>
  <c r="F226" i="5"/>
  <c r="J226" i="5"/>
  <c r="I226" i="5"/>
  <c r="H226" i="5"/>
  <c r="E226" i="5"/>
  <c r="H5" i="5"/>
  <c r="F5" i="5"/>
  <c r="J5" i="5"/>
  <c r="R5" i="5"/>
  <c r="E5" i="5"/>
  <c r="I5" i="5"/>
  <c r="J94" i="5"/>
  <c r="R94" i="5"/>
  <c r="H94" i="5"/>
  <c r="F94" i="5"/>
  <c r="E94" i="5"/>
  <c r="I94" i="5"/>
  <c r="R79" i="5"/>
  <c r="I79" i="5"/>
  <c r="J79" i="5"/>
  <c r="H79" i="5"/>
  <c r="F79" i="5"/>
  <c r="E79" i="5"/>
  <c r="R81" i="5"/>
  <c r="E81" i="5"/>
  <c r="I81" i="5"/>
  <c r="F81" i="5"/>
  <c r="J81" i="5"/>
  <c r="H81" i="5"/>
  <c r="X277" i="5"/>
  <c r="R277" i="5"/>
  <c r="I234" i="5"/>
  <c r="J234" i="5"/>
  <c r="F234" i="5"/>
  <c r="H234" i="5"/>
  <c r="R234" i="5"/>
  <c r="E234" i="5"/>
  <c r="G251" i="5"/>
  <c r="E251" i="5"/>
  <c r="R251" i="5"/>
  <c r="J251" i="5"/>
  <c r="I251" i="5"/>
  <c r="H251" i="5"/>
  <c r="F251" i="5"/>
  <c r="R140" i="5"/>
  <c r="F140" i="5"/>
  <c r="J140" i="5"/>
  <c r="I140" i="5"/>
  <c r="H140" i="5"/>
  <c r="E140" i="5"/>
  <c r="J166" i="5"/>
  <c r="H166" i="5"/>
  <c r="R166" i="5"/>
  <c r="F166" i="5"/>
  <c r="E166" i="5"/>
  <c r="I166" i="5"/>
  <c r="I161" i="5"/>
  <c r="F161" i="5"/>
  <c r="R161" i="5"/>
  <c r="J161" i="5"/>
  <c r="H161" i="5"/>
  <c r="E161" i="5"/>
  <c r="F220" i="5"/>
  <c r="R220" i="5"/>
  <c r="J220" i="5"/>
  <c r="I220" i="5"/>
  <c r="H220" i="5"/>
  <c r="E220" i="5"/>
  <c r="R200" i="5"/>
  <c r="J200" i="5"/>
  <c r="F200" i="5"/>
  <c r="G200" i="5"/>
  <c r="H200" i="5"/>
  <c r="E200" i="5"/>
  <c r="I200" i="5"/>
  <c r="R233" i="5"/>
  <c r="J233" i="5"/>
  <c r="I233" i="5"/>
  <c r="H233" i="5"/>
  <c r="F233" i="5"/>
  <c r="E233" i="5"/>
  <c r="R96" i="5"/>
  <c r="E96" i="5"/>
  <c r="I96" i="5"/>
  <c r="F96" i="5"/>
  <c r="J96" i="5"/>
  <c r="H96" i="5"/>
  <c r="R248" i="5"/>
  <c r="E248" i="5"/>
  <c r="F248" i="5"/>
  <c r="J248" i="5"/>
  <c r="I248" i="5"/>
  <c r="H248" i="5"/>
  <c r="H74" i="5"/>
  <c r="R74" i="5"/>
  <c r="J74" i="5"/>
  <c r="E74" i="5"/>
  <c r="I74" i="5"/>
  <c r="F74" i="5"/>
  <c r="H213" i="5"/>
  <c r="J213" i="5"/>
  <c r="I213" i="5"/>
  <c r="F213" i="5"/>
  <c r="E213" i="5"/>
  <c r="R213" i="5"/>
  <c r="F112" i="5"/>
  <c r="E112" i="5"/>
  <c r="R112" i="5"/>
  <c r="J112" i="5"/>
  <c r="I112" i="5"/>
  <c r="H112" i="5"/>
  <c r="R44" i="5"/>
  <c r="E44" i="5"/>
  <c r="I44" i="5"/>
  <c r="F44" i="5"/>
  <c r="J44" i="5"/>
  <c r="H44" i="5"/>
  <c r="R23" i="5"/>
  <c r="I23" i="5"/>
  <c r="J23" i="5"/>
  <c r="F23" i="5"/>
  <c r="E23" i="5"/>
  <c r="H23" i="5"/>
  <c r="H217" i="5"/>
  <c r="F217" i="5"/>
  <c r="E217" i="5"/>
  <c r="R217" i="5"/>
  <c r="J217" i="5"/>
  <c r="I217" i="5"/>
  <c r="I109" i="5"/>
  <c r="R109" i="5"/>
  <c r="J109" i="5"/>
  <c r="E109" i="5"/>
  <c r="H109" i="5"/>
  <c r="F109" i="5"/>
  <c r="E212" i="5"/>
  <c r="F212" i="5"/>
  <c r="I212" i="5"/>
  <c r="H212" i="5"/>
  <c r="R212" i="5"/>
  <c r="J212" i="5"/>
  <c r="J110" i="5"/>
  <c r="H110" i="5"/>
  <c r="E110" i="5"/>
  <c r="R110" i="5"/>
  <c r="F110" i="5"/>
  <c r="I110" i="5"/>
  <c r="R32" i="5"/>
  <c r="I32" i="5"/>
  <c r="E32" i="5"/>
  <c r="F32" i="5"/>
  <c r="J32" i="5"/>
  <c r="H32" i="5"/>
  <c r="E122" i="5"/>
  <c r="H122" i="5"/>
  <c r="J122" i="5"/>
  <c r="R122" i="5"/>
  <c r="I122" i="5"/>
  <c r="F122" i="5"/>
  <c r="I118" i="5"/>
  <c r="E118" i="5"/>
  <c r="R118" i="5"/>
  <c r="J118" i="5"/>
  <c r="H118" i="5"/>
  <c r="F118" i="5"/>
  <c r="G101" i="5"/>
  <c r="R101" i="5"/>
  <c r="J101" i="5"/>
  <c r="E101" i="5"/>
  <c r="F101" i="5"/>
  <c r="H101" i="5"/>
  <c r="I101" i="5"/>
  <c r="E130" i="5"/>
  <c r="I130" i="5"/>
  <c r="R130" i="5"/>
  <c r="J130" i="5"/>
  <c r="H130" i="5"/>
  <c r="F130" i="5"/>
  <c r="R19" i="5"/>
  <c r="H53" i="5"/>
  <c r="R53" i="5"/>
  <c r="I53" i="5"/>
  <c r="F53" i="5"/>
  <c r="J53" i="5"/>
  <c r="E53" i="5"/>
  <c r="H177" i="5"/>
  <c r="F177" i="5"/>
  <c r="I177" i="5"/>
  <c r="R177" i="5"/>
  <c r="E177" i="5"/>
  <c r="J177" i="5"/>
  <c r="R55" i="5"/>
  <c r="I55" i="5"/>
  <c r="E55" i="5"/>
  <c r="J55" i="5"/>
  <c r="H55" i="5"/>
  <c r="F55" i="5"/>
  <c r="I121" i="5"/>
  <c r="H121" i="5"/>
  <c r="F121" i="5"/>
  <c r="E121" i="5"/>
  <c r="R121" i="5"/>
  <c r="J121" i="5"/>
  <c r="E57" i="5"/>
  <c r="I57" i="5"/>
  <c r="R57" i="5"/>
  <c r="H57" i="5"/>
  <c r="F57" i="5"/>
  <c r="J57" i="5"/>
  <c r="I253" i="5"/>
  <c r="H253" i="5"/>
  <c r="F253" i="5"/>
  <c r="E253" i="5"/>
  <c r="R253" i="5"/>
  <c r="J253" i="5"/>
  <c r="R262" i="5"/>
  <c r="E262" i="5"/>
  <c r="F262" i="5"/>
  <c r="J262" i="5"/>
  <c r="H262" i="5"/>
  <c r="I262" i="5"/>
  <c r="E82" i="5"/>
  <c r="H82" i="5"/>
  <c r="R82" i="5"/>
  <c r="J82" i="5"/>
  <c r="T82" i="5" s="1"/>
  <c r="I82" i="5"/>
  <c r="F82" i="5"/>
  <c r="R136" i="5"/>
  <c r="E136" i="5"/>
  <c r="F136" i="5"/>
  <c r="J136" i="5"/>
  <c r="I136" i="5"/>
  <c r="H136" i="5"/>
  <c r="H85" i="5"/>
  <c r="E85" i="5"/>
  <c r="I85" i="5"/>
  <c r="R85" i="5"/>
  <c r="F85" i="5"/>
  <c r="J85" i="5"/>
  <c r="R124" i="5"/>
  <c r="E124" i="5"/>
  <c r="F124" i="5"/>
  <c r="J124" i="5"/>
  <c r="I124" i="5"/>
  <c r="H124" i="5"/>
  <c r="R6" i="5"/>
  <c r="I6" i="5"/>
  <c r="H6" i="5"/>
  <c r="F6" i="5"/>
  <c r="J6" i="5"/>
  <c r="E6" i="5"/>
  <c r="E263" i="5"/>
  <c r="R263" i="5"/>
  <c r="J263" i="5"/>
  <c r="I263" i="5"/>
  <c r="G263" i="5"/>
  <c r="H263" i="5"/>
  <c r="F263" i="5"/>
  <c r="E73" i="5"/>
  <c r="H73" i="5"/>
  <c r="I73" i="5"/>
  <c r="R73" i="5"/>
  <c r="F73" i="5"/>
  <c r="J73" i="5"/>
  <c r="H245" i="5"/>
  <c r="F245" i="5"/>
  <c r="E245" i="5"/>
  <c r="R245" i="5"/>
  <c r="J245" i="5"/>
  <c r="I245" i="5"/>
  <c r="R45" i="5"/>
  <c r="E45" i="5"/>
  <c r="I45" i="5"/>
  <c r="J45" i="5"/>
  <c r="H45" i="5"/>
  <c r="F45" i="5"/>
  <c r="R51" i="5"/>
  <c r="H51" i="5"/>
  <c r="E51" i="5"/>
  <c r="F51" i="5"/>
  <c r="I51" i="5"/>
  <c r="J51" i="5"/>
  <c r="R68" i="5"/>
  <c r="I68" i="5"/>
  <c r="E68" i="5"/>
  <c r="F68" i="5"/>
  <c r="J68" i="5"/>
  <c r="H68" i="5"/>
  <c r="H158" i="5"/>
  <c r="E158" i="5"/>
  <c r="R158" i="5"/>
  <c r="J158" i="5"/>
  <c r="I158" i="5"/>
  <c r="F158" i="5"/>
  <c r="R207" i="5"/>
  <c r="H207" i="5"/>
  <c r="F207" i="5"/>
  <c r="J207" i="5"/>
  <c r="E207" i="5"/>
  <c r="I207" i="5"/>
  <c r="G207" i="5"/>
  <c r="E145" i="5"/>
  <c r="I145" i="5"/>
  <c r="H145" i="5"/>
  <c r="F145" i="5"/>
  <c r="R145" i="5"/>
  <c r="J145" i="5"/>
  <c r="F42" i="5"/>
  <c r="J42" i="5"/>
  <c r="R42" i="5"/>
  <c r="H42" i="5"/>
  <c r="I42" i="5"/>
  <c r="E42" i="5"/>
  <c r="G42" i="5"/>
  <c r="R77" i="5"/>
  <c r="E77" i="5"/>
  <c r="I77" i="5"/>
  <c r="H77" i="5"/>
  <c r="J77" i="5"/>
  <c r="F77" i="5"/>
  <c r="H165" i="5"/>
  <c r="I165" i="5"/>
  <c r="E165" i="5"/>
  <c r="F165" i="5"/>
  <c r="R165" i="5"/>
  <c r="J165" i="5"/>
  <c r="R204" i="5"/>
  <c r="F204" i="5"/>
  <c r="J204" i="5"/>
  <c r="I204" i="5"/>
  <c r="H204" i="5"/>
  <c r="E204" i="5"/>
  <c r="H237" i="5"/>
  <c r="F237" i="5"/>
  <c r="E237" i="5"/>
  <c r="R237" i="5"/>
  <c r="J237" i="5"/>
  <c r="I237" i="5"/>
  <c r="H230" i="5"/>
  <c r="F230" i="5"/>
  <c r="R230" i="5"/>
  <c r="E230" i="5"/>
  <c r="J230" i="5"/>
  <c r="I230" i="5"/>
  <c r="R67" i="5"/>
  <c r="I67" i="5"/>
  <c r="H67" i="5"/>
  <c r="F67" i="5"/>
  <c r="E67" i="5"/>
  <c r="J67" i="5"/>
  <c r="J261" i="5"/>
  <c r="E261" i="5"/>
  <c r="H261" i="5"/>
  <c r="I261" i="5"/>
  <c r="F261" i="5"/>
  <c r="R261" i="5"/>
  <c r="I225" i="5"/>
  <c r="H225" i="5"/>
  <c r="F225" i="5"/>
  <c r="E225" i="5"/>
  <c r="R225" i="5"/>
  <c r="J225" i="5"/>
  <c r="R75" i="5"/>
  <c r="I75" i="5"/>
  <c r="J75" i="5"/>
  <c r="H75" i="5"/>
  <c r="F75" i="5"/>
  <c r="E75" i="5"/>
  <c r="R28" i="5"/>
  <c r="R29" i="5"/>
  <c r="R39" i="5"/>
  <c r="I39" i="5"/>
  <c r="J39" i="5"/>
  <c r="E39" i="5"/>
  <c r="H39" i="5"/>
  <c r="F39" i="5"/>
  <c r="R41" i="5"/>
  <c r="J62" i="5"/>
  <c r="E62" i="5"/>
  <c r="R62" i="5"/>
  <c r="H62" i="5"/>
  <c r="I62" i="5"/>
  <c r="F62" i="5"/>
  <c r="J138" i="5"/>
  <c r="I138" i="5"/>
  <c r="E138" i="5"/>
  <c r="F138" i="5"/>
  <c r="H138" i="5"/>
  <c r="R138" i="5"/>
  <c r="R91" i="5"/>
  <c r="I91" i="5"/>
  <c r="F91" i="5"/>
  <c r="E91" i="5"/>
  <c r="J91" i="5"/>
  <c r="H91" i="5"/>
  <c r="F172" i="5"/>
  <c r="R172" i="5"/>
  <c r="J172" i="5"/>
  <c r="I172" i="5"/>
  <c r="H172" i="5"/>
  <c r="E172" i="5"/>
  <c r="G261" i="5"/>
  <c r="C40" i="6"/>
  <c r="C26" i="6"/>
  <c r="C41" i="6"/>
  <c r="D24" i="6"/>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G7" i="5"/>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62" i="5"/>
  <c r="T246" i="5"/>
  <c r="T69" i="5"/>
  <c r="T143" i="5"/>
  <c r="T126" i="5"/>
  <c r="T209" i="5"/>
  <c r="T232" i="5"/>
  <c r="T104" i="5"/>
  <c r="T50" i="5"/>
  <c r="T137" i="5"/>
  <c r="S90" i="5"/>
  <c r="S239" i="5"/>
  <c r="T37" i="5"/>
  <c r="T41" i="5"/>
  <c r="T156" i="5"/>
  <c r="T59" i="5"/>
  <c r="T139" i="5"/>
  <c r="S188" i="5"/>
  <c r="T96" i="5"/>
  <c r="T263" i="5"/>
  <c r="T116" i="5"/>
  <c r="T222" i="5"/>
  <c r="T197" i="5"/>
  <c r="T118" i="5"/>
  <c r="T236" i="5"/>
  <c r="T92" i="5"/>
  <c r="T181" i="5"/>
  <c r="T83" i="5"/>
  <c r="T149" i="5"/>
  <c r="T42" i="5"/>
  <c r="T97" i="5"/>
  <c r="T39" i="5"/>
  <c r="T273" i="5"/>
  <c r="S247" i="5"/>
  <c r="T193" i="5"/>
  <c r="T30" i="5"/>
  <c r="T171" i="5"/>
  <c r="T142" i="5"/>
  <c r="T253" i="5"/>
  <c r="T64" i="5"/>
  <c r="T52" i="5"/>
  <c r="T189" i="5"/>
  <c r="T110" i="5"/>
  <c r="T227" i="5"/>
  <c r="T47" i="5"/>
  <c r="T51" i="5"/>
  <c r="T196" i="5"/>
  <c r="T206" i="5"/>
  <c r="T5" i="5"/>
  <c r="T231" i="5"/>
  <c r="T120" i="5"/>
  <c r="T107" i="5"/>
  <c r="T60" i="5"/>
  <c r="T67" i="5"/>
  <c r="T14" i="5"/>
  <c r="T13" i="5"/>
  <c r="T36" i="5"/>
  <c r="S238" i="5"/>
  <c r="T20" i="5"/>
  <c r="T262" i="5"/>
  <c r="T133" i="5"/>
  <c r="T93" i="5"/>
  <c r="S155" i="5"/>
  <c r="T215" i="5"/>
  <c r="T58" i="5"/>
  <c r="T208" i="5"/>
  <c r="T260" i="5"/>
  <c r="T127" i="5"/>
  <c r="T251" i="5"/>
  <c r="T32" i="5"/>
  <c r="T256" i="5"/>
  <c r="T178" i="5"/>
  <c r="T63" i="5"/>
  <c r="T163" i="5"/>
  <c r="T46" i="5"/>
  <c r="T157" i="5"/>
  <c r="T53" i="5"/>
  <c r="T223" i="5"/>
  <c r="T72" i="5"/>
  <c r="T205" i="5"/>
  <c r="T272" i="5"/>
  <c r="S190" i="5"/>
  <c r="T132" i="5"/>
  <c r="T211" i="5"/>
  <c r="T135" i="5"/>
  <c r="T261" i="5"/>
  <c r="T43" i="5"/>
  <c r="T84" i="5"/>
  <c r="T124" i="5"/>
  <c r="T198" i="5"/>
  <c r="T54" i="5"/>
  <c r="T29" i="5"/>
  <c r="T187" i="5"/>
  <c r="T248" i="5"/>
  <c r="S119" i="5"/>
  <c r="T207" i="5"/>
  <c r="T62" i="5"/>
  <c r="T10" i="5"/>
  <c r="T121" i="5"/>
  <c r="T111" i="5"/>
  <c r="T152" i="5"/>
  <c r="T18" i="5"/>
  <c r="T217" i="5"/>
  <c r="S159" i="5"/>
  <c r="T148" i="5"/>
  <c r="T255" i="5"/>
  <c r="T49" i="5"/>
  <c r="S146" i="5"/>
  <c r="T22" i="5"/>
  <c r="T258" i="5"/>
  <c r="T95" i="5"/>
  <c r="T252" i="5"/>
  <c r="T225" i="5"/>
  <c r="T73" i="5"/>
  <c r="T212" i="5"/>
  <c r="T128" i="5"/>
  <c r="T165" i="5"/>
  <c r="T141" i="5"/>
  <c r="T34" i="5"/>
  <c r="T244" i="5"/>
  <c r="T220" i="5"/>
  <c r="T70" i="5"/>
  <c r="T75" i="5"/>
  <c r="T173" i="5"/>
  <c r="T233" i="5"/>
  <c r="S111" i="5"/>
  <c r="T172" i="5"/>
  <c r="T144" i="5"/>
  <c r="T186" i="5"/>
  <c r="T112" i="5"/>
  <c r="T229" i="5"/>
  <c r="T78" i="5"/>
  <c r="T265" i="5"/>
  <c r="S183" i="5"/>
  <c r="T147" i="5"/>
  <c r="T237" i="5"/>
  <c r="T160" i="5"/>
  <c r="T24" i="5"/>
  <c r="T66" i="5"/>
  <c r="T190" i="5"/>
  <c r="T103" i="5"/>
  <c r="T99" i="5"/>
  <c r="T153" i="5"/>
  <c r="T11" i="5"/>
  <c r="T25" i="5"/>
  <c r="T101" i="5"/>
  <c r="T151" i="5"/>
  <c r="T179" i="5"/>
  <c r="T38" i="5"/>
  <c r="T184" i="5"/>
  <c r="T9" i="5"/>
  <c r="T19" i="5"/>
  <c r="T85" i="5"/>
  <c r="T164" i="5"/>
  <c r="T136" i="5"/>
  <c r="T234" i="5"/>
  <c r="T235" i="5"/>
  <c r="T150" i="5"/>
  <c r="T40" i="5"/>
  <c r="T16" i="5"/>
  <c r="T113" i="5"/>
  <c r="T192" i="5"/>
  <c r="T26" i="5"/>
  <c r="T182" i="5"/>
  <c r="T48" i="5"/>
  <c r="T155" i="5"/>
  <c r="T115" i="5"/>
  <c r="T195" i="5"/>
  <c r="T44" i="5"/>
  <c r="T158" i="5"/>
  <c r="T247" i="5"/>
  <c r="T241" i="5"/>
  <c r="T226" i="5"/>
  <c r="T200" i="5"/>
  <c r="S193" i="5"/>
  <c r="T202" i="5"/>
  <c r="T131" i="5"/>
  <c r="T176" i="5"/>
  <c r="T245" i="5"/>
  <c r="T71" i="5"/>
  <c r="T68" i="5"/>
  <c r="T77" i="5"/>
  <c r="T240" i="5"/>
  <c r="T74" i="5"/>
  <c r="T23" i="5"/>
  <c r="T138" i="5"/>
  <c r="T8" i="5"/>
  <c r="T15" i="5"/>
  <c r="T213" i="5"/>
  <c r="T194" i="5"/>
  <c r="T166" i="5"/>
  <c r="T55" i="5"/>
  <c r="S219" i="5"/>
  <c r="T270" i="5"/>
  <c r="T117" i="5"/>
  <c r="T180" i="5"/>
  <c r="T183" i="5"/>
  <c r="T21" i="5"/>
  <c r="T140" i="5"/>
  <c r="T88" i="5"/>
  <c r="T28" i="5"/>
  <c r="S162" i="5"/>
  <c r="T167" i="5"/>
  <c r="T102" i="5"/>
  <c r="T230" i="5"/>
  <c r="T105" i="5"/>
  <c r="T174" i="5"/>
  <c r="T216" i="5"/>
  <c r="T238" i="5"/>
  <c r="S174" i="5"/>
  <c r="T203" i="5"/>
  <c r="T199" i="5"/>
  <c r="T145" i="5"/>
  <c r="T224" i="5"/>
  <c r="T89" i="5"/>
  <c r="T45" i="5"/>
  <c r="T119" i="5"/>
  <c r="T221" i="5"/>
  <c r="T7" i="5"/>
  <c r="T108" i="5"/>
  <c r="T185" i="5"/>
  <c r="T168" i="5"/>
  <c r="T31" i="5"/>
  <c r="T91" i="5"/>
  <c r="T177" i="5"/>
  <c r="T87" i="5"/>
  <c r="T125" i="5"/>
  <c r="T154" i="5"/>
  <c r="T123" i="5"/>
  <c r="S223" i="5"/>
  <c r="T56" i="5"/>
  <c r="T65" i="5"/>
  <c r="T175" i="5"/>
  <c r="T257" i="5"/>
  <c r="T33" i="5"/>
  <c r="T134" i="5"/>
  <c r="T201" i="5"/>
  <c r="T214" i="5"/>
  <c r="T191" i="5"/>
  <c r="T109" i="5"/>
  <c r="T12" i="5"/>
  <c r="T228" i="5"/>
  <c r="T159" i="5"/>
  <c r="T268" i="5"/>
  <c r="T17" i="5"/>
  <c r="T100" i="5"/>
  <c r="T243" i="5"/>
  <c r="T57" i="5"/>
  <c r="T259" i="5"/>
  <c r="T204" i="5"/>
  <c r="T106" i="5"/>
  <c r="T6" i="5"/>
  <c r="T86" i="5"/>
  <c r="T129" i="5"/>
  <c r="T277" i="5"/>
  <c r="S175" i="5"/>
  <c r="T130" i="5"/>
  <c r="T219" i="5"/>
  <c r="T239" i="5"/>
  <c r="T27" i="5"/>
  <c r="T161" i="5"/>
  <c r="T170" i="5"/>
  <c r="T218" i="5"/>
  <c r="T98" i="5"/>
  <c r="T94" i="5"/>
  <c r="T81" i="5"/>
  <c r="T122" i="5"/>
  <c r="T249" i="5"/>
  <c r="T35" i="5"/>
  <c r="T61" i="5"/>
  <c r="T79" i="5"/>
  <c r="X169" i="5" l="1"/>
  <c r="X76" i="5"/>
  <c r="X41" i="5"/>
  <c r="X40" i="5"/>
  <c r="X38" i="5"/>
  <c r="X37" i="5"/>
  <c r="X36" i="5"/>
  <c r="X34" i="5"/>
  <c r="X31" i="5"/>
  <c r="X30" i="5"/>
  <c r="X29" i="5"/>
  <c r="X28" i="5"/>
  <c r="X162" i="5"/>
  <c r="X219" i="5"/>
  <c r="X183" i="5"/>
  <c r="X21" i="5"/>
  <c r="X119" i="5"/>
  <c r="X20" i="5"/>
  <c r="X19" i="5"/>
  <c r="X175" i="5"/>
  <c r="X190" i="5"/>
  <c r="X111" i="5"/>
  <c r="X239" i="5"/>
  <c r="X223" i="5"/>
  <c r="X188" i="5"/>
  <c r="X238" i="5"/>
  <c r="X159" i="5"/>
  <c r="X155" i="5"/>
  <c r="X247" i="5"/>
  <c r="X91" i="5"/>
  <c r="X261" i="5"/>
  <c r="X45" i="5"/>
  <c r="X186" i="5"/>
  <c r="X243" i="5"/>
  <c r="X86" i="5"/>
  <c r="X180" i="5"/>
  <c r="X208" i="5"/>
  <c r="X237" i="5"/>
  <c r="X51" i="5"/>
  <c r="X220" i="5"/>
  <c r="X94" i="5"/>
  <c r="X117" i="5"/>
  <c r="X113" i="5"/>
  <c r="X181" i="5"/>
  <c r="X95" i="5"/>
  <c r="X187" i="5"/>
  <c r="X260" i="5"/>
  <c r="X156" i="5"/>
  <c r="X123" i="5"/>
  <c r="X176" i="5"/>
  <c r="X134" i="5"/>
  <c r="X47" i="5"/>
  <c r="X92" i="5"/>
  <c r="X151" i="5"/>
  <c r="X144" i="5"/>
  <c r="X22" i="5"/>
  <c r="X182" i="5"/>
  <c r="X199" i="5"/>
  <c r="X143" i="5"/>
  <c r="X234" i="5"/>
  <c r="X126" i="5"/>
  <c r="X83" i="5"/>
  <c r="X145" i="5"/>
  <c r="X24" i="5"/>
  <c r="X192" i="5"/>
  <c r="X18" i="5"/>
  <c r="X216" i="5"/>
  <c r="X120" i="5"/>
  <c r="X154" i="5"/>
  <c r="X60" i="5"/>
  <c r="X254" i="5"/>
  <c r="X160" i="5"/>
  <c r="X215" i="5"/>
  <c r="X227" i="5"/>
  <c r="X59" i="5"/>
  <c r="X115" i="5"/>
  <c r="X104" i="5"/>
  <c r="X255" i="5"/>
  <c r="X39" i="5"/>
  <c r="X225" i="5"/>
  <c r="X130" i="5"/>
  <c r="X128" i="5"/>
  <c r="X157" i="5"/>
  <c r="X258" i="5"/>
  <c r="X105" i="5"/>
  <c r="X89" i="5"/>
  <c r="X112" i="5"/>
  <c r="X96" i="5"/>
  <c r="X79" i="5"/>
  <c r="X137" i="5"/>
  <c r="X61" i="5"/>
  <c r="X72" i="5"/>
  <c r="X246" i="5"/>
  <c r="X195" i="5"/>
  <c r="X263" i="5"/>
  <c r="X58" i="5"/>
  <c r="X148" i="5"/>
  <c r="X149" i="5"/>
  <c r="X87" i="5"/>
  <c r="X78" i="5"/>
  <c r="X172" i="5"/>
  <c r="X75" i="5"/>
  <c r="X81" i="5"/>
  <c r="X228" i="5"/>
  <c r="X240" i="5"/>
  <c r="X231" i="5"/>
  <c r="X56" i="5"/>
  <c r="X202" i="5"/>
  <c r="X132" i="5"/>
  <c r="X252" i="5"/>
  <c r="X218" i="5"/>
  <c r="X244" i="5"/>
  <c r="X230" i="5"/>
  <c r="X133" i="5"/>
  <c r="X63" i="5"/>
  <c r="X108" i="5"/>
  <c r="X236" i="5"/>
  <c r="X167" i="5"/>
  <c r="X67" i="5"/>
  <c r="X253" i="5"/>
  <c r="X140" i="5"/>
  <c r="X171" i="5"/>
  <c r="X196" i="5"/>
  <c r="X222" i="5"/>
  <c r="X77" i="5"/>
  <c r="X101" i="5"/>
  <c r="X248" i="5"/>
  <c r="X163" i="5"/>
  <c r="X141" i="5"/>
  <c r="X211" i="5"/>
  <c r="X100" i="5"/>
  <c r="X106" i="5"/>
  <c r="X179" i="5"/>
  <c r="X25" i="5"/>
  <c r="X116" i="5"/>
  <c r="X259" i="5"/>
  <c r="X26" i="5"/>
  <c r="X205" i="5"/>
  <c r="X257" i="5"/>
  <c r="X43" i="5"/>
  <c r="X23" i="5"/>
  <c r="X200" i="5"/>
  <c r="X197" i="5"/>
  <c r="X65" i="5"/>
  <c r="X201" i="5"/>
  <c r="X204" i="5"/>
  <c r="X57" i="5"/>
  <c r="X173" i="5"/>
  <c r="X49" i="5"/>
  <c r="X185" i="5"/>
  <c r="X50" i="5"/>
  <c r="X88" i="5"/>
  <c r="X131" i="5"/>
  <c r="X139" i="5"/>
  <c r="X129" i="5"/>
  <c r="X109" i="5"/>
  <c r="X127" i="5"/>
  <c r="X168" i="5"/>
  <c r="X147" i="5"/>
  <c r="X152" i="5"/>
  <c r="X82" i="5"/>
  <c r="X177" i="5"/>
  <c r="X66" i="5"/>
  <c r="X206" i="5"/>
  <c r="X184" i="5"/>
  <c r="X68" i="5"/>
  <c r="X136" i="5"/>
  <c r="X122" i="5"/>
  <c r="X214" i="5"/>
  <c r="X107" i="5"/>
  <c r="X118" i="5"/>
  <c r="X44" i="5"/>
  <c r="X74" i="5"/>
  <c r="X233" i="5"/>
  <c r="X226" i="5"/>
  <c r="X80" i="5"/>
  <c r="X17" i="5"/>
  <c r="X249" i="5"/>
  <c r="X224" i="5"/>
  <c r="X33" i="5"/>
  <c r="X209" i="5"/>
  <c r="X125" i="5"/>
  <c r="X165" i="5"/>
  <c r="X207" i="5"/>
  <c r="X245" i="5"/>
  <c r="X73" i="5"/>
  <c r="X6" i="5"/>
  <c r="X85" i="5"/>
  <c r="X110" i="5"/>
  <c r="X212" i="5"/>
  <c r="X213" i="5"/>
  <c r="X135" i="5"/>
  <c r="X191" i="5"/>
  <c r="X48" i="5"/>
  <c r="X46" i="5"/>
  <c r="X221" i="5"/>
  <c r="X62" i="5"/>
  <c r="X158" i="5"/>
  <c r="X55" i="5"/>
  <c r="X166" i="5"/>
  <c r="X251" i="5"/>
  <c r="X198" i="5"/>
  <c r="X232" i="5"/>
  <c r="X27" i="5"/>
  <c r="X54" i="5"/>
  <c r="X153" i="5"/>
  <c r="X71" i="5"/>
  <c r="X99" i="5"/>
  <c r="X97" i="5"/>
  <c r="X98" i="5"/>
  <c r="X84" i="5"/>
  <c r="X164" i="5"/>
  <c r="X203" i="5"/>
  <c r="X241" i="5"/>
  <c r="X256" i="5"/>
  <c r="X138" i="5"/>
  <c r="X42" i="5"/>
  <c r="X124" i="5"/>
  <c r="X262" i="5"/>
  <c r="X121" i="5"/>
  <c r="X53" i="5"/>
  <c r="X32" i="5"/>
  <c r="X217" i="5"/>
  <c r="X161" i="5"/>
  <c r="X5" i="5"/>
  <c r="X235" i="5"/>
  <c r="X178" i="5"/>
  <c r="X52" i="5"/>
  <c r="X93" i="5"/>
  <c r="X64" i="5"/>
  <c r="X229" i="5"/>
  <c r="X102" i="5"/>
  <c r="X170" i="5"/>
  <c r="X150" i="5"/>
  <c r="X35" i="5"/>
  <c r="X69" i="5"/>
  <c r="X194" i="5"/>
  <c r="X103" i="5"/>
  <c r="X189" i="5"/>
  <c r="X70" i="5"/>
  <c r="X142" i="5"/>
  <c r="X13" i="5"/>
  <c r="X10" i="5"/>
  <c r="X9" i="5"/>
  <c r="X12" i="5"/>
  <c r="X14" i="5"/>
  <c r="X11" i="5"/>
  <c r="X15" i="5"/>
  <c r="X8" i="5"/>
  <c r="X7" i="5"/>
  <c r="X16" i="5"/>
  <c r="D55" i="6"/>
  <c r="C55" i="6"/>
  <c r="D56" i="6"/>
  <c r="C56" i="6"/>
  <c r="S30" i="5"/>
  <c r="S32" i="5"/>
  <c r="S178" i="5"/>
  <c r="S135" i="5"/>
  <c r="S191" i="5"/>
  <c r="S195" i="5"/>
  <c r="S205" i="5"/>
  <c r="S216" i="5"/>
  <c r="S163" i="5"/>
  <c r="S251" i="5"/>
  <c r="S42" i="5"/>
  <c r="S200" i="5"/>
  <c r="S157" i="5"/>
  <c r="S259" i="5"/>
  <c r="S253" i="5"/>
  <c r="S231" i="5"/>
  <c r="S218" i="5"/>
  <c r="S78" i="5"/>
  <c r="S107" i="5"/>
  <c r="S213" i="5"/>
  <c r="S173" i="5"/>
  <c r="S215" i="5"/>
  <c r="S34" i="5"/>
  <c r="S71" i="5"/>
  <c r="S153" i="5"/>
  <c r="S10" i="5"/>
  <c r="S199" i="5"/>
  <c r="S143" i="5"/>
  <c r="S45" i="5"/>
  <c r="S77" i="5"/>
  <c r="S41" i="5"/>
  <c r="S211" i="5"/>
  <c r="S103" i="5"/>
  <c r="S196" i="5"/>
  <c r="S161" i="5"/>
  <c r="S203" i="5"/>
  <c r="S170" i="5"/>
  <c r="S13" i="5"/>
  <c r="S248" i="5"/>
  <c r="S102" i="5"/>
  <c r="S37" i="5"/>
  <c r="S177" i="5"/>
  <c r="S165" i="5"/>
  <c r="S88" i="5"/>
  <c r="S168" i="5"/>
  <c r="S57" i="5"/>
  <c r="S8" i="5"/>
  <c r="S208" i="5"/>
  <c r="S91" i="5"/>
  <c r="S261" i="5"/>
  <c r="S17" i="5"/>
  <c r="S117" i="5"/>
  <c r="S235" i="5"/>
  <c r="S56" i="5"/>
  <c r="S99" i="5"/>
  <c r="S214" i="5"/>
  <c r="S29" i="5"/>
  <c r="S141" i="5"/>
  <c r="S198" i="5"/>
  <c r="S46" i="5"/>
  <c r="S207" i="5"/>
  <c r="S126" i="5"/>
  <c r="S186" i="5"/>
  <c r="S98" i="5"/>
  <c r="S55" i="5"/>
  <c r="S209" i="5"/>
  <c r="S20" i="5"/>
  <c r="S53" i="5"/>
  <c r="S236" i="5"/>
  <c r="S52" i="5"/>
  <c r="S124" i="5"/>
  <c r="S262" i="5"/>
  <c r="S70" i="5"/>
  <c r="S104" i="5"/>
  <c r="S233" i="5"/>
  <c r="S232" i="5"/>
  <c r="S206" i="5"/>
  <c r="S49" i="5"/>
  <c r="S244" i="5"/>
  <c r="S249" i="5"/>
  <c r="S212" i="5"/>
  <c r="S136" i="5"/>
  <c r="S44" i="5"/>
  <c r="S92" i="5"/>
  <c r="S252" i="5"/>
  <c r="S145" i="5"/>
  <c r="S62" i="5"/>
  <c r="S140" i="5"/>
  <c r="S23" i="5"/>
  <c r="S245" i="5"/>
  <c r="S148" i="5"/>
  <c r="S97" i="5"/>
  <c r="S201" i="5"/>
  <c r="S138" i="5"/>
  <c r="S185" i="5"/>
  <c r="S129" i="5"/>
  <c r="S65" i="5"/>
  <c r="S95" i="5"/>
  <c r="S237" i="5"/>
  <c r="S5" i="5"/>
  <c r="S180" i="5"/>
  <c r="S225" i="5"/>
  <c r="S68" i="5"/>
  <c r="S147" i="5"/>
  <c r="S43" i="5"/>
  <c r="S94" i="5"/>
  <c r="S105" i="5"/>
  <c r="S125" i="5"/>
  <c r="S66" i="5"/>
  <c r="S82" i="5"/>
  <c r="S80" i="5"/>
  <c r="S35" i="5"/>
  <c r="S112" i="5"/>
  <c r="S116" i="5"/>
  <c r="S31" i="5"/>
  <c r="S9" i="5"/>
  <c r="S179" i="5"/>
  <c r="S189" i="5"/>
  <c r="S172" i="5"/>
  <c r="S79" i="5"/>
  <c r="S150" i="5"/>
  <c r="S63" i="5"/>
  <c r="S18" i="5"/>
  <c r="S134" i="5"/>
  <c r="S22" i="5"/>
  <c r="S221" i="5"/>
  <c r="S230" i="5"/>
  <c r="S60" i="5"/>
  <c r="S144" i="5"/>
  <c r="S194" i="5"/>
  <c r="S204" i="5"/>
  <c r="S257" i="5"/>
  <c r="S69" i="5"/>
  <c r="S123" i="5"/>
  <c r="S255" i="5"/>
  <c r="S59" i="5"/>
  <c r="S160" i="5"/>
  <c r="S127" i="5"/>
  <c r="S64" i="5"/>
  <c r="S217" i="5"/>
  <c r="S16" i="5"/>
  <c r="S130" i="5"/>
  <c r="S14" i="5"/>
  <c r="S187" i="5"/>
  <c r="S220" i="5"/>
  <c r="S176" i="5"/>
  <c r="S158" i="5"/>
  <c r="S181" i="5"/>
  <c r="S121" i="5"/>
  <c r="S151" i="5"/>
  <c r="S51" i="5"/>
  <c r="S156" i="5"/>
  <c r="S240" i="5"/>
  <c r="S48" i="5"/>
  <c r="S226" i="5"/>
  <c r="S149" i="5"/>
  <c r="S87" i="5"/>
  <c r="S72" i="5"/>
  <c r="S234" i="5"/>
  <c r="S246" i="5"/>
  <c r="S75" i="5"/>
  <c r="S81" i="5"/>
  <c r="S192" i="5"/>
  <c r="S241" i="5"/>
  <c r="S84" i="5"/>
  <c r="S164" i="5"/>
  <c r="S120" i="5"/>
  <c r="S133" i="5"/>
  <c r="S67" i="5"/>
  <c r="S228" i="5"/>
  <c r="S229" i="5"/>
  <c r="S15" i="5"/>
  <c r="S47" i="5"/>
  <c r="S86" i="5"/>
  <c r="S7" i="5"/>
  <c r="S109" i="5"/>
  <c r="S137" i="5"/>
  <c r="S61" i="5"/>
  <c r="S258" i="5"/>
  <c r="S260" i="5"/>
  <c r="S184" i="5"/>
  <c r="S40" i="5"/>
  <c r="S25" i="5"/>
  <c r="S118" i="5"/>
  <c r="S222" i="5"/>
  <c r="S58" i="5"/>
  <c r="S38" i="5"/>
  <c r="S139" i="5"/>
  <c r="S224" i="5"/>
  <c r="S154" i="5"/>
  <c r="S243" i="5"/>
  <c r="S74" i="5"/>
  <c r="S93" i="5"/>
  <c r="S36" i="5"/>
  <c r="S73" i="5"/>
  <c r="S6" i="5"/>
  <c r="S152" i="5"/>
  <c r="S96" i="5"/>
  <c r="S128" i="5"/>
  <c r="S39" i="5"/>
  <c r="S115" i="5"/>
  <c r="S256" i="5"/>
  <c r="S166" i="5"/>
  <c r="S89" i="5"/>
  <c r="S54" i="5"/>
  <c r="S113" i="5"/>
  <c r="S76" i="5"/>
  <c r="S101" i="5"/>
  <c r="S197" i="5"/>
  <c r="S108" i="5"/>
  <c r="S50" i="5"/>
  <c r="S83" i="5"/>
  <c r="S28" i="5"/>
  <c r="S131" i="5"/>
  <c r="S11" i="5"/>
  <c r="S27" i="5"/>
  <c r="S106" i="5"/>
  <c r="S21" i="5"/>
  <c r="S110" i="5"/>
  <c r="S132" i="5"/>
  <c r="S263" i="5"/>
  <c r="S227" i="5"/>
  <c r="S254" i="5"/>
  <c r="S24" i="5"/>
  <c r="S19" i="5"/>
  <c r="S142" i="5"/>
  <c r="S26" i="5"/>
  <c r="S12" i="5"/>
  <c r="S182" i="5"/>
  <c r="S167" i="5"/>
  <c r="S100" i="5"/>
  <c r="S202" i="5"/>
  <c r="S85" i="5"/>
  <c r="S169" i="5"/>
  <c r="S171" i="5"/>
  <c r="S122" i="5"/>
  <c r="S33" i="5"/>
  <c r="G67" i="6" l="1"/>
  <c r="H67" i="6" s="1"/>
  <c r="G66" i="6"/>
  <c r="H66" i="6" s="1"/>
  <c r="G68" i="6"/>
  <c r="H68" i="6" s="1"/>
  <c r="G65" i="6"/>
  <c r="H65" i="6" s="1"/>
  <c r="G69" i="6"/>
  <c r="F69" i="6"/>
  <c r="C69" i="6" l="1"/>
  <c r="D65" i="6"/>
  <c r="C65" i="6"/>
  <c r="C68" i="6"/>
  <c r="D68" i="6"/>
  <c r="C67" i="6"/>
  <c r="D67" i="6"/>
  <c r="C66" i="6"/>
  <c r="D66" i="6"/>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<sst xmlns="http://schemas.openxmlformats.org/spreadsheetml/2006/main" count="22474" uniqueCount="15697">
  <si>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</si>
  <si>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</si>
  <si>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</si>
  <si>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</si>
  <si>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</si>
  <si>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</si>
  <si>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</si>
  <si>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</si>
  <si>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</si>
  <si>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</si>
  <si>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</si>
  <si>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</si>
  <si>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</si>
  <si>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</si>
  <si>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</si>
  <si>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</si>
  <si>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</si>
  <si>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</si>
  <si>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</si>
  <si>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</si>
  <si>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</si>
  <si>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</si>
  <si>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</si>
  <si>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</si>
  <si>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</si>
  <si>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</si>
  <si>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</si>
  <si>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</si>
  <si>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</si>
  <si>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</si>
  <si>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</si>
  <si>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</si>
  <si>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</si>
  <si>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</si>
  <si>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</si>
  <si>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</si>
  <si>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</si>
  <si>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</si>
  <si>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</si>
  <si>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</si>
  <si>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</si>
  <si>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</si>
  <si>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</si>
  <si>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</si>
  <si>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</si>
  <si>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</si>
  <si>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</si>
  <si>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</si>
  <si>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</si>
  <si>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</si>
  <si>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</si>
  <si>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</si>
  <si>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</si>
  <si>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</si>
  <si>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</si>
  <si>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</si>
  <si>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</si>
  <si>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</si>
  <si>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</si>
  <si>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</si>
  <si>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</si>
  <si>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</si>
  <si>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</si>
  <si>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</si>
  <si>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</si>
  <si>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</si>
  <si>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</si>
  <si>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</si>
  <si>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</si>
  <si>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</si>
  <si>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</si>
  <si>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</si>
  <si>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</si>
  <si>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</si>
  <si>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</si>
  <si>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</si>
  <si>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</si>
  <si>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</si>
  <si>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</si>
  <si>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</si>
  <si>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</si>
  <si>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</si>
  <si>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</si>
  <si>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</si>
  <si>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</si>
  <si>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</si>
  <si>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</si>
  <si>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</si>
  <si>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</si>
  <si>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</si>
  <si>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</si>
  <si>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</si>
  <si>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</si>
  <si>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</si>
  <si>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</si>
  <si>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</si>
  <si>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</si>
  <si>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</si>
  <si>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</si>
  <si>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</si>
  <si>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</si>
  <si>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</si>
  <si>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</si>
  <si>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</si>
  <si>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</si>
  <si>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</si>
  <si>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</si>
  <si>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</si>
  <si>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</si>
  <si>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</si>
  <si>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</si>
  <si>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</si>
  <si>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</si>
  <si>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</si>
  <si>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</si>
  <si>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</si>
  <si>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</si>
  <si>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</si>
  <si>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</si>
  <si>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</si>
  <si>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</si>
  <si>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</si>
  <si>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</si>
  <si>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</si>
  <si>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</si>
  <si>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</si>
  <si>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</si>
  <si>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</si>
  <si>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</si>
  <si>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</si>
  <si>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</si>
  <si>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</si>
  <si>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</si>
  <si>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</si>
  <si>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</si>
  <si>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</si>
  <si>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</si>
  <si>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</si>
  <si>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</si>
  <si>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</si>
  <si>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</si>
  <si>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</si>
  <si>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</si>
  <si>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</si>
  <si>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</si>
  <si>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</si>
  <si>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</si>
  <si>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</si>
  <si>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</si>
  <si>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</si>
  <si>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</si>
  <si>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</si>
  <si>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</si>
  <si>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</si>
  <si>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</si>
  <si>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</si>
  <si>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</si>
  <si>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</si>
  <si>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</si>
  <si>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</si>
  <si>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</si>
  <si>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</si>
  <si>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</si>
  <si>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</si>
  <si>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</si>
  <si>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</si>
  <si>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</si>
  <si>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</si>
  <si>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</si>
  <si>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</si>
  <si>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</si>
  <si>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</si>
  <si>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</si>
  <si>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</si>
  <si>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</si>
  <si>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</si>
  <si>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</si>
  <si>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</si>
  <si>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</si>
  <si>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</si>
  <si>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</si>
  <si>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</si>
  <si>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</si>
  <si>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</si>
  <si>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</si>
  <si>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</si>
  <si>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</si>
  <si>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</si>
  <si>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</si>
  <si>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</si>
  <si>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</si>
  <si>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</si>
  <si>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</si>
  <si>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</si>
  <si>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</si>
  <si>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</si>
  <si>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</si>
  <si>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</si>
  <si>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</si>
  <si>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</si>
  <si>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</si>
  <si>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</si>
  <si>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</si>
  <si>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</si>
  <si>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</si>
  <si>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</si>
  <si>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</si>
  <si>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</si>
  <si>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</si>
  <si>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</si>
  <si>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</si>
  <si>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</si>
  <si>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</si>
  <si>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</si>
  <si>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</si>
  <si>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</si>
  <si>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</si>
  <si>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</si>
  <si>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</si>
  <si>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</si>
  <si>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</si>
  <si>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</si>
  <si>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</si>
  <si>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</si>
  <si>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</si>
  <si>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</si>
  <si>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</si>
  <si>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</si>
  <si>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</si>
  <si>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</si>
  <si>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</si>
  <si>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</si>
  <si>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</si>
  <si>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</si>
  <si>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</si>
  <si>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</si>
  <si>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</si>
  <si>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</si>
  <si>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</si>
  <si>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</si>
  <si>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</si>
  <si>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</si>
  <si>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</si>
  <si>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</si>
  <si>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</si>
  <si>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</si>
  <si>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</si>
  <si>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</si>
  <si>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</si>
  <si>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</si>
  <si>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</si>
  <si>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</si>
  <si>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</si>
  <si>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</si>
  <si>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</si>
  <si>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</si>
  <si>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</si>
  <si>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</si>
  <si>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</si>
  <si>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</si>
  <si>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</si>
  <si>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</si>
  <si>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</si>
  <si>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</si>
  <si>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</si>
  <si>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</si>
  <si>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</si>
  <si>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</si>
  <si>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</si>
  <si>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</si>
  <si>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</si>
  <si>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</si>
  <si>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</si>
  <si>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</si>
  <si>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</si>
  <si>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</si>
  <si>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</si>
  <si>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</si>
  <si>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</si>
  <si>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</si>
  <si>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</si>
  <si>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</si>
  <si>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</si>
  <si>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</si>
  <si>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</si>
  <si>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</si>
  <si>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</si>
  <si>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</si>
  <si>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</si>
  <si>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</si>
  <si>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</si>
  <si>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</si>
  <si>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</si>
  <si>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</si>
  <si>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</si>
  <si>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</si>
  <si>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</si>
  <si>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</si>
  <si>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</si>
  <si>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</si>
  <si>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</si>
  <si>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</si>
  <si>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</si>
  <si>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</si>
  <si>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</si>
  <si>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</si>
  <si>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</si>
  <si>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</si>
  <si>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</si>
  <si>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</si>
  <si>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</si>
  <si>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</si>
  <si>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</si>
  <si>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</si>
  <si>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</si>
  <si>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</si>
  <si>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</si>
  <si>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</si>
  <si>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</si>
  <si>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</si>
  <si>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</si>
  <si>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</si>
  <si>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</si>
  <si>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</si>
  <si>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</si>
  <si>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</si>
  <si>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</si>
  <si>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</si>
  <si>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</si>
  <si>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</si>
  <si>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</si>
  <si>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</si>
  <si>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</si>
  <si>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</si>
  <si>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</si>
  <si>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</si>
  <si>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</si>
  <si>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</si>
  <si>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</si>
  <si>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</si>
  <si>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</si>
  <si>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</si>
  <si>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</si>
  <si>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</si>
  <si>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</si>
  <si>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</si>
  <si>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</si>
  <si>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</si>
  <si>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</si>
  <si>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</si>
  <si>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</si>
  <si>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</si>
  <si>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</si>
  <si>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</si>
  <si>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</si>
  <si>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</si>
  <si>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</si>
  <si>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</si>
  <si>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</si>
  <si>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</si>
  <si>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</si>
  <si>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</si>
  <si>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</si>
  <si>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</si>
  <si>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</si>
  <si>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</si>
  <si>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</si>
  <si>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</si>
  <si>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</si>
  <si>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</si>
  <si>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</si>
  <si>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</si>
  <si>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</si>
  <si>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</si>
  <si>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</si>
  <si>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</si>
  <si>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</si>
  <si>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</si>
  <si>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</si>
  <si>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</si>
  <si>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</si>
  <si>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</si>
  <si>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</si>
  <si>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</si>
  <si>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</si>
  <si>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</si>
  <si>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</si>
  <si>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</si>
  <si>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</si>
  <si>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</si>
  <si>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</si>
  <si>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</si>
  <si>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</si>
  <si>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</si>
  <si>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</si>
  <si>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</si>
  <si>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</si>
  <si>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</si>
  <si>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</si>
  <si>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</si>
  <si>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</si>
  <si>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</si>
  <si>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</si>
  <si>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</si>
  <si>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</si>
  <si>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</si>
  <si>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</si>
  <si>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</si>
  <si>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</si>
  <si>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</si>
  <si>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</si>
  <si>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</si>
  <si>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</si>
  <si>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</si>
  <si>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</si>
  <si>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</si>
  <si>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</si>
  <si>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</si>
  <si>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</si>
  <si>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</si>
  <si>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</si>
  <si>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</si>
  <si>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</si>
  <si>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</si>
  <si>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</si>
  <si>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</si>
  <si>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</si>
  <si>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</si>
  <si>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</si>
  <si>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</si>
  <si>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</si>
  <si>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</si>
  <si>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</si>
  <si>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</si>
  <si>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</si>
  <si>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</si>
  <si>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</si>
  <si>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</si>
  <si>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</si>
  <si>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</si>
  <si>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</si>
  <si>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</si>
  <si>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</si>
  <si>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</si>
  <si>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</si>
  <si>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</si>
  <si>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</si>
  <si>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</si>
  <si>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</si>
  <si>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</si>
  <si>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</si>
  <si>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</si>
  <si>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</si>
  <si>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</si>
  <si>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</si>
  <si>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</si>
  <si>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</si>
  <si>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</si>
  <si>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</si>
  <si>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</si>
  <si>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</si>
  <si>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</si>
  <si>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</si>
  <si>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</si>
  <si>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</si>
  <si>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</si>
  <si>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</si>
  <si>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</si>
  <si>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</si>
  <si>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</si>
  <si>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</si>
  <si>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</si>
  <si>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</si>
  <si>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</si>
  <si>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</si>
  <si>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</si>
  <si>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</si>
  <si>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</si>
  <si>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</si>
  <si>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</si>
  <si>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</si>
  <si>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</si>
  <si>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</si>
  <si>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</si>
  <si>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</si>
  <si>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</si>
  <si>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</si>
  <si>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</si>
  <si>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</si>
  <si>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</si>
  <si>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</si>
  <si>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</si>
  <si>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</si>
  <si>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</si>
  <si>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</si>
  <si>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</si>
  <si>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</si>
  <si>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</si>
  <si>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</si>
  <si>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</si>
  <si>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</si>
  <si>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</si>
  <si>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</si>
  <si>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</si>
  <si>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</si>
  <si>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</si>
  <si>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</si>
  <si>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</si>
  <si>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</si>
  <si>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</si>
  <si>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</si>
  <si>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</si>
  <si>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</si>
  <si>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</si>
  <si>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</si>
  <si>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</si>
  <si>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</si>
  <si>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</si>
  <si>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</si>
  <si>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</si>
  <si>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</si>
  <si>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</si>
  <si>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</si>
  <si>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</si>
  <si>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</si>
  <si>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</si>
  <si>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</si>
  <si>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</si>
  <si>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</si>
  <si>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</si>
  <si>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</si>
  <si>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</si>
  <si>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</si>
  <si>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</si>
  <si>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</si>
  <si>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</si>
  <si>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</si>
  <si>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</si>
  <si>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</si>
  <si>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</si>
  <si>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</si>
  <si>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</si>
  <si>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</si>
  <si>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</si>
  <si>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</si>
  <si>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</si>
  <si>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</si>
  <si>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</si>
  <si>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</si>
  <si>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</si>
  <si>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</si>
  <si>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</si>
  <si>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</si>
  <si>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</si>
  <si>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</si>
  <si>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</si>
  <si>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</si>
  <si>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</si>
  <si>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</si>
  <si>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</si>
  <si>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</si>
  <si>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</si>
  <si>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</si>
  <si>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</si>
  <si>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</si>
  <si>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</si>
  <si>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</si>
  <si>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</si>
  <si>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</si>
  <si>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</si>
  <si>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</si>
  <si>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</si>
  <si>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</si>
  <si>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</si>
  <si>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</si>
  <si>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</si>
  <si>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</si>
  <si>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</si>
  <si>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</si>
  <si>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</si>
  <si>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</si>
  <si>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</si>
  <si>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</si>
  <si>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</si>
  <si>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</si>
  <si>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</si>
  <si>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</si>
  <si>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</si>
  <si>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</si>
  <si>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</si>
  <si>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</si>
  <si>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</si>
  <si>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</si>
  <si>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</si>
  <si>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</si>
  <si>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</si>
  <si>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</si>
  <si>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</si>
  <si>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</si>
  <si>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</si>
  <si>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</si>
  <si>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</si>
  <si>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</si>
  <si>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</si>
  <si>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</si>
  <si>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</si>
  <si>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</si>
  <si>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</si>
  <si>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</si>
  <si>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</si>
  <si>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</si>
  <si>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</si>
  <si>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</si>
  <si>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</si>
  <si>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</si>
  <si>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</si>
  <si>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</si>
  <si>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</si>
  <si>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</si>
  <si>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</si>
  <si>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</si>
  <si>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</si>
  <si>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</si>
  <si>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</si>
  <si>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</si>
  <si>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</si>
  <si>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</si>
  <si>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</si>
  <si>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</si>
  <si>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</si>
  <si>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</si>
  <si>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</si>
  <si>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</si>
  <si>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</si>
  <si>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</si>
  <si>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</si>
  <si>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</si>
  <si>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</si>
  <si>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</si>
  <si>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</si>
  <si>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</si>
  <si>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</si>
  <si>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</si>
  <si>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</si>
  <si>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</si>
  <si>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</si>
  <si>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</si>
  <si>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</si>
  <si>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</si>
  <si>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</si>
  <si>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</si>
  <si>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</si>
  <si>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</si>
  <si>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</si>
  <si>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</si>
  <si>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</si>
  <si>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</si>
  <si>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</si>
  <si>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</si>
  <si>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</si>
  <si>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</si>
  <si>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</si>
  <si>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</si>
  <si>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</si>
  <si>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</si>
  <si>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</si>
  <si>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</si>
  <si>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</si>
  <si>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</si>
  <si>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</si>
  <si>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</si>
  <si>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</si>
  <si>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</si>
  <si>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</si>
  <si>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</si>
  <si>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</si>
  <si>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</si>
  <si>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</si>
  <si>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</si>
  <si>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</si>
  <si>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</si>
  <si>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</si>
  <si>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</si>
  <si>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</si>
  <si>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</si>
  <si>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</si>
  <si>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</si>
  <si>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</si>
  <si>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</si>
  <si>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</si>
  <si>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</si>
  <si>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</si>
  <si>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</si>
  <si>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</si>
  <si>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</si>
  <si>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</si>
  <si>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</si>
  <si>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</si>
  <si>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</si>
  <si>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</si>
  <si>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</si>
  <si>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</si>
  <si>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</si>
  <si>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</si>
  <si>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</si>
  <si>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</si>
  <si>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</si>
  <si>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</si>
  <si>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</si>
  <si>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</si>
  <si>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</si>
  <si>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</si>
  <si>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</si>
  <si>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</si>
  <si>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</si>
  <si>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</si>
  <si>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</si>
  <si>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</si>
  <si>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</si>
  <si>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</si>
  <si>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</si>
  <si>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</si>
  <si>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</si>
  <si>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</si>
  <si>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</si>
  <si>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</si>
  <si>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</si>
  <si>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</si>
  <si>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</si>
  <si>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</si>
  <si>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</si>
  <si>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</si>
  <si>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</si>
  <si>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</si>
  <si>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</si>
  <si>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</si>
  <si>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</si>
  <si>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</si>
  <si>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</si>
  <si>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</si>
  <si>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</si>
  <si>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</si>
  <si>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</si>
  <si>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</si>
  <si>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</si>
  <si>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</si>
  <si>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</si>
  <si>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</si>
  <si>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</si>
  <si>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</si>
  <si>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</si>
  <si>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</si>
  <si>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</si>
  <si>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</si>
  <si>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</si>
  <si>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</si>
  <si>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</si>
  <si>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</si>
  <si>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</si>
  <si>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</si>
  <si>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</si>
  <si>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</si>
  <si>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</si>
  <si>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</si>
  <si>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</si>
  <si>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</si>
  <si>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</si>
  <si>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</si>
  <si>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</si>
  <si>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</si>
  <si>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</si>
  <si>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</si>
  <si>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</si>
  <si>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</si>
  <si>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</si>
  <si>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</si>
  <si>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</si>
  <si>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</si>
  <si>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</si>
  <si>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</si>
  <si>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</si>
  <si>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</si>
  <si>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</si>
  <si>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</si>
  <si>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</si>
  <si>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</si>
  <si>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</si>
  <si>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</si>
  <si>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</si>
  <si>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</si>
  <si>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</si>
  <si>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</si>
  <si>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</si>
  <si>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</si>
  <si>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</si>
  <si>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</si>
  <si>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</si>
  <si>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</si>
  <si>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</si>
  <si>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</si>
  <si>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</si>
  <si>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</si>
  <si>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</si>
  <si>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</si>
  <si>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</si>
  <si>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</si>
  <si>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</si>
  <si>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</si>
  <si>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</si>
  <si>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</si>
  <si>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</si>
  <si>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</si>
  <si>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</si>
  <si>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</si>
  <si>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</si>
  <si>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</si>
  <si>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</si>
  <si>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</si>
  <si>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</si>
  <si>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</si>
  <si>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</si>
  <si>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</si>
  <si>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</si>
  <si>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</si>
  <si>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</si>
  <si>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</si>
  <si>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</si>
  <si>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</si>
  <si>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</si>
  <si>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</si>
  <si>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</si>
  <si>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</si>
  <si>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</si>
  <si>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</si>
  <si>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</si>
  <si>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</si>
  <si>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</si>
  <si>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</si>
  <si>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</si>
  <si>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</si>
  <si>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</si>
  <si>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</si>
  <si>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</si>
  <si>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</si>
  <si>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</si>
  <si>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</si>
  <si>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</si>
  <si>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</si>
  <si>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</si>
  <si>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</si>
  <si>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</si>
  <si>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</si>
  <si>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</si>
  <si>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</si>
  <si>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</si>
  <si>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</si>
  <si>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</si>
  <si>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</si>
  <si>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</si>
  <si>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</si>
  <si>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</si>
  <si>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</si>
  <si>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</si>
  <si>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</si>
  <si>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</si>
  <si>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</si>
  <si>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</si>
  <si>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</si>
  <si>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</si>
  <si>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</si>
  <si>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</si>
  <si>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</si>
  <si>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</si>
  <si>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</si>
  <si>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</si>
  <si>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</si>
  <si>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</si>
  <si>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</si>
  <si>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</si>
  <si>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</si>
  <si>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</si>
  <si>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</si>
  <si>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</si>
  <si>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</si>
  <si>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</si>
  <si>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</si>
  <si>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</si>
  <si>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</si>
  <si>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</si>
  <si>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</si>
  <si>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</si>
  <si>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</si>
  <si>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</si>
  <si>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</si>
  <si>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</si>
  <si>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</si>
  <si>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</si>
  <si>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</si>
  <si>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</si>
  <si>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</si>
  <si>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</si>
  <si>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</si>
  <si>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</si>
  <si>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</si>
  <si>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</si>
  <si>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</si>
  <si>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</si>
  <si>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</si>
  <si>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</si>
  <si>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</si>
  <si>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</si>
  <si>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</si>
  <si>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</si>
  <si>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</si>
  <si>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</si>
  <si>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</si>
  <si>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</si>
  <si>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</si>
  <si>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</si>
  <si>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</si>
  <si>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</si>
  <si>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</si>
  <si>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</si>
  <si>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</si>
  <si>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</si>
  <si>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</si>
  <si>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</si>
  <si>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</si>
  <si>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</si>
  <si>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</si>
  <si>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</si>
  <si>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</si>
  <si>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</si>
  <si>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</si>
  <si>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</si>
  <si>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</si>
  <si>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</si>
  <si>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</si>
  <si>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</si>
  <si>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</si>
  <si>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</si>
  <si>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</si>
  <si>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</si>
  <si>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</si>
  <si>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</si>
  <si>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</si>
  <si>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</si>
  <si>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</si>
  <si>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</si>
  <si>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</si>
  <si>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</si>
  <si>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</si>
  <si>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</si>
  <si>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</si>
  <si>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</si>
  <si>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</si>
  <si>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</si>
  <si>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</si>
  <si>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</si>
  <si>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</si>
  <si>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</si>
  <si>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</si>
  <si>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</si>
  <si>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</si>
  <si>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</si>
  <si>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</si>
  <si>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</si>
  <si>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</si>
  <si>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</si>
  <si>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</si>
  <si>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</si>
  <si>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</si>
  <si>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</si>
  <si>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</si>
  <si>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</si>
  <si>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</si>
  <si>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</si>
  <si>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</si>
  <si>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</si>
  <si>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</si>
  <si>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</si>
  <si>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</si>
  <si>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</si>
  <si>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</si>
  <si>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</si>
  <si>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</si>
  <si>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</si>
  <si>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</si>
  <si>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</si>
  <si>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</si>
  <si>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</si>
  <si>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</si>
  <si>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</si>
  <si>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</si>
  <si>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</si>
  <si>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</si>
  <si>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</si>
  <si>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</si>
  <si>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</si>
  <si>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</si>
  <si>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</si>
  <si>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</si>
  <si>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</si>
  <si>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</si>
  <si>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</si>
  <si>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</si>
  <si>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</si>
  <si>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</si>
  <si>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</si>
  <si>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</si>
  <si>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</si>
  <si>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</si>
  <si>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</si>
  <si>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</si>
  <si>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</si>
  <si>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</si>
  <si>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</si>
  <si>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</si>
  <si>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</si>
  <si>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</si>
  <si>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</si>
  <si>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</si>
  <si>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</si>
  <si>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</si>
  <si>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</si>
  <si>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</si>
  <si>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</si>
  <si>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</si>
  <si>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</si>
  <si>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</si>
  <si>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</si>
  <si>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</si>
  <si>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</si>
  <si>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</si>
  <si>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</si>
  <si>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</si>
  <si>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</si>
  <si>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</si>
  <si>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</si>
  <si>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</si>
  <si>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</si>
  <si>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</si>
  <si>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</si>
  <si>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</si>
  <si>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</si>
  <si>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</si>
  <si>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</si>
  <si>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</si>
  <si>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</si>
  <si>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</si>
  <si>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</si>
  <si>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</si>
  <si>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</si>
  <si>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</si>
  <si>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</si>
  <si>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</si>
  <si>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</si>
  <si>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</si>
  <si>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</si>
  <si>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</si>
  <si>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</si>
  <si>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</si>
  <si>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</si>
  <si>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</si>
  <si>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</si>
  <si>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</si>
  <si>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</si>
  <si>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</si>
  <si>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</si>
  <si>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</si>
  <si>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</si>
  <si>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</si>
  <si>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</si>
  <si>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</si>
  <si>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</si>
  <si>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</si>
  <si>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</si>
  <si>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</si>
  <si>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</si>
  <si>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</si>
  <si>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</si>
  <si>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</si>
  <si>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</si>
  <si>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</si>
  <si>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</si>
  <si>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</si>
  <si>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</si>
  <si>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</si>
  <si>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</si>
  <si>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</si>
  <si>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</si>
  <si>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</si>
  <si>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</si>
  <si>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</si>
  <si>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</si>
  <si>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</si>
  <si>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</si>
  <si>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</si>
  <si>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</si>
  <si>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</si>
  <si>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</si>
  <si>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</si>
  <si>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</si>
  <si>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</si>
  <si>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</si>
  <si>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</si>
  <si>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</si>
  <si>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</si>
  <si>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</si>
  <si>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</si>
  <si>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</si>
  <si>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</si>
  <si>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</si>
  <si>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</si>
  <si>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</si>
  <si>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</si>
  <si>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</si>
  <si>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</si>
  <si>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</si>
  <si>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</si>
  <si>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</si>
  <si>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</si>
  <si>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</si>
  <si>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</si>
  <si>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</si>
  <si>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</si>
  <si>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</si>
  <si>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</si>
  <si>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</si>
  <si>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</si>
  <si>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</si>
  <si>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</si>
  <si>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</si>
  <si>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</si>
  <si>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</si>
  <si>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</si>
  <si>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</si>
  <si>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</si>
  <si>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</si>
  <si>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</si>
  <si>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</si>
  <si>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</si>
  <si>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</si>
  <si>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</si>
  <si>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</si>
  <si>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</si>
  <si>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</si>
  <si>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</si>
  <si>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</si>
  <si>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</si>
  <si>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</si>
  <si>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</si>
  <si>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</si>
  <si>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</si>
  <si>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</si>
  <si>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</si>
  <si>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</si>
  <si>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</si>
  <si>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</si>
  <si>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</si>
  <si>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</si>
  <si>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</si>
  <si>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</si>
  <si>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</si>
  <si>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</si>
  <si>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</si>
  <si>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</si>
  <si>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</si>
  <si>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</si>
  <si>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</si>
  <si>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</si>
  <si>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</si>
  <si>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</si>
  <si>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</si>
  <si>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</si>
  <si>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</si>
  <si>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</si>
  <si>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</si>
  <si>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</si>
  <si>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</si>
  <si>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</si>
  <si>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</si>
  <si>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</si>
  <si>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</si>
  <si>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</si>
  <si>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</si>
  <si>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</si>
  <si>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</si>
  <si>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</si>
  <si>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</si>
  <si>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</si>
  <si>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</si>
  <si>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</si>
  <si>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</si>
  <si>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</si>
  <si>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</si>
  <si>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</si>
  <si>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</si>
  <si>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</si>
  <si>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</si>
  <si>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</si>
  <si>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</si>
  <si>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</si>
  <si>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</si>
  <si>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</si>
  <si>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</si>
  <si>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</si>
  <si>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</si>
  <si>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</si>
  <si>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</si>
  <si>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</si>
  <si>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</si>
  <si>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</si>
  <si>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</si>
  <si>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</si>
  <si>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</si>
  <si>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</si>
  <si>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</si>
  <si>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</si>
  <si>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</si>
  <si>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</si>
  <si>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</si>
  <si>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</si>
  <si>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</si>
  <si>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</si>
  <si>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</si>
  <si>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</si>
  <si>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</si>
  <si>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</si>
  <si>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</si>
  <si>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</si>
  <si>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</si>
  <si>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</si>
  <si>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</si>
  <si>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</si>
  <si>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</si>
  <si>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</si>
  <si>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</si>
  <si>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</si>
  <si>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</si>
  <si>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</si>
  <si>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</si>
  <si>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</si>
  <si>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</si>
  <si>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</si>
  <si>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</si>
  <si>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</si>
  <si>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</si>
  <si>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</si>
  <si>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</si>
  <si>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</si>
  <si>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</si>
  <si>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</si>
  <si>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</si>
  <si>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</si>
  <si>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</si>
  <si>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</si>
  <si>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</si>
  <si>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</si>
  <si>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</si>
  <si>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</si>
  <si>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</si>
  <si>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</si>
  <si>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</si>
  <si>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</si>
  <si>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</si>
  <si>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</si>
  <si>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</si>
  <si>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</si>
  <si>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</si>
  <si>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</si>
  <si>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</si>
  <si>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</si>
  <si>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</si>
  <si>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</si>
  <si>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</si>
  <si>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</si>
  <si>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</si>
  <si>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</si>
  <si>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</si>
  <si>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</si>
  <si>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</si>
  <si>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</si>
  <si>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</si>
  <si>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</si>
  <si>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</si>
  <si>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</si>
  <si>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</si>
  <si>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</si>
  <si>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</si>
  <si>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</si>
  <si>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</si>
  <si>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</si>
  <si>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</si>
  <si>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</si>
  <si>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</si>
  <si>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</si>
  <si>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</si>
  <si>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</si>
  <si>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</si>
  <si>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</si>
  <si>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</si>
  <si>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</si>
  <si>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</si>
  <si>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</si>
  <si>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</si>
  <si>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</si>
  <si>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</si>
  <si>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</si>
  <si>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</si>
  <si>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</si>
  <si>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</si>
  <si>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</si>
  <si>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</si>
  <si>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</si>
  <si>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</si>
  <si>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</si>
  <si>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</si>
  <si>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</si>
  <si>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</si>
  <si>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</si>
  <si>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</si>
  <si>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</si>
  <si>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</si>
  <si>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</si>
  <si>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</si>
  <si>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</si>
  <si>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</si>
  <si>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</si>
  <si>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</si>
  <si>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</si>
  <si>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</si>
  <si>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</si>
  <si>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</si>
  <si>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</si>
  <si>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</si>
  <si>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</si>
  <si>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</si>
  <si>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</si>
  <si>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</si>
  <si>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</si>
  <si>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</si>
  <si>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</si>
  <si>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</si>
  <si>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</si>
  <si>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</si>
  <si>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</si>
  <si>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</si>
  <si>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</si>
  <si>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</si>
  <si>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</si>
  <si>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</si>
  <si>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</si>
  <si>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</si>
  <si>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</si>
  <si>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</si>
  <si>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</si>
  <si>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</si>
  <si>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</si>
  <si>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</si>
  <si>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</si>
  <si>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</si>
  <si>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</si>
  <si>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</si>
  <si>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</si>
  <si>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</si>
  <si>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</si>
  <si>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</si>
  <si>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</si>
  <si>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</si>
  <si>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</si>
  <si>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</si>
  <si>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</si>
  <si>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</si>
  <si>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</si>
  <si>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</si>
  <si>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</si>
  <si>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</si>
  <si>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</si>
  <si>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</si>
  <si>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</si>
  <si>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</si>
  <si>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</si>
  <si>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</si>
  <si>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</si>
  <si>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</si>
  <si>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</si>
  <si>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</si>
  <si>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</si>
  <si>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</si>
  <si>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</si>
  <si>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</si>
  <si>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</si>
  <si>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</si>
  <si>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</si>
  <si>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</si>
  <si>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</si>
  <si>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</si>
  <si>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</si>
  <si>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</si>
  <si>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</si>
  <si>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</si>
  <si>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</si>
  <si>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</si>
  <si>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</si>
  <si>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</si>
  <si>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</si>
  <si>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</si>
  <si>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</si>
  <si>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</si>
  <si>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</si>
  <si>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</si>
  <si>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</si>
  <si>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</si>
  <si>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</si>
  <si>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</si>
  <si>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</si>
  <si>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</si>
  <si>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</si>
  <si>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</si>
  <si>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</si>
  <si>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</si>
  <si>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</si>
  <si>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</si>
  <si>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</si>
  <si>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</si>
  <si>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</si>
  <si>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</si>
  <si>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</si>
  <si>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</si>
  <si>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</si>
  <si>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</si>
  <si>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</si>
  <si>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</si>
  <si>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</si>
  <si>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</si>
  <si>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</si>
  <si>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</si>
  <si>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</si>
  <si>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</si>
  <si>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</si>
  <si>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</si>
  <si>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</si>
  <si>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</si>
  <si>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</si>
  <si>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</si>
  <si>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</si>
  <si>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</si>
  <si>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</si>
  <si>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</si>
  <si>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</si>
  <si>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</si>
  <si>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</si>
  <si>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</si>
  <si>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</si>
  <si>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</si>
  <si>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</si>
  <si>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</si>
  <si>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</si>
  <si>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</si>
  <si>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</si>
  <si>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</si>
  <si>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</si>
  <si>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</si>
  <si>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</si>
  <si>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</si>
  <si>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</si>
  <si>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</si>
  <si>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</si>
  <si>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</si>
  <si>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</si>
  <si>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</si>
  <si>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</si>
  <si>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</si>
  <si>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</si>
  <si>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</si>
  <si>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</si>
  <si>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</si>
  <si>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</si>
  <si>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</si>
  <si>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</si>
  <si>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</si>
  <si>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</si>
  <si>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</si>
  <si>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</si>
  <si>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</si>
  <si>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</si>
  <si>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</si>
  <si>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</si>
  <si>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</si>
  <si>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</si>
  <si>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</si>
  <si>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</si>
  <si>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</si>
  <si>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</si>
  <si>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</si>
  <si>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</si>
  <si>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</si>
  <si>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</si>
  <si>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</si>
  <si>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</si>
  <si>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</si>
  <si>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</si>
  <si>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</si>
  <si>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</si>
  <si>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</si>
  <si>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</si>
  <si>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</si>
  <si>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</si>
  <si>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</si>
  <si>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</si>
  <si>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</si>
  <si>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</si>
  <si>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</si>
  <si>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</si>
  <si>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</si>
  <si>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</si>
  <si>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</si>
  <si>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</si>
  <si>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</si>
  <si>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</si>
  <si>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</si>
  <si>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</si>
  <si>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</si>
  <si>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</si>
  <si>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</si>
  <si>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</si>
  <si>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</si>
  <si>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</si>
  <si>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</si>
  <si>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</si>
  <si>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</si>
  <si>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</si>
  <si>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</si>
  <si>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</si>
  <si>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</si>
  <si>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</si>
  <si>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</si>
  <si>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</si>
  <si>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</si>
  <si>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</si>
  <si>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</si>
  <si>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</si>
  <si>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</si>
  <si>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</si>
  <si>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</si>
  <si>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</si>
  <si>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</si>
  <si>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</si>
  <si>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</si>
  <si>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</si>
  <si>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</si>
  <si>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</si>
  <si>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</si>
  <si>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</si>
  <si>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</si>
  <si>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</si>
  <si>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</si>
  <si>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</si>
  <si>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</si>
  <si>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</si>
  <si>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</si>
  <si>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</si>
  <si>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</si>
  <si>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</si>
  <si>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</si>
  <si>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</si>
  <si>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</si>
  <si>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</si>
  <si>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</si>
  <si>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</si>
  <si>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</si>
  <si>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</si>
  <si>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</si>
  <si>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</si>
  <si>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</si>
  <si>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</si>
  <si>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</si>
  <si>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</si>
  <si>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</si>
  <si>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</si>
  <si>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</si>
  <si>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</si>
  <si>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</si>
  <si>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</si>
  <si>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</si>
  <si>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</si>
  <si>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</si>
  <si>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</si>
  <si>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</si>
  <si>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</si>
  <si>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</si>
  <si>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</si>
  <si>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</si>
  <si>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</si>
  <si>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</si>
  <si>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</si>
  <si>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</si>
  <si>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</si>
  <si>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</si>
  <si>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</si>
  <si>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</si>
  <si>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</si>
  <si>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</si>
  <si>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</si>
  <si>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</si>
  <si>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</si>
  <si>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</si>
  <si>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</si>
  <si>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</si>
  <si>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</si>
  <si>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</si>
  <si>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</si>
  <si>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</si>
  <si>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</si>
  <si>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</si>
  <si>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</si>
  <si>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</si>
  <si>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</si>
  <si>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</si>
  <si>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</si>
  <si>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</si>
  <si>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</si>
  <si>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</si>
  <si>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</si>
  <si>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</si>
  <si>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</si>
  <si>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</si>
  <si>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</si>
  <si>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</si>
  <si>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</si>
  <si>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</si>
  <si>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</si>
  <si>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</si>
  <si>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</si>
  <si>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</si>
  <si>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</si>
  <si>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</si>
  <si>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</si>
  <si>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</si>
  <si>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</si>
  <si>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</si>
  <si>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</si>
  <si>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</si>
  <si>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</si>
  <si>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</si>
  <si>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</si>
  <si>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</si>
  <si>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</si>
  <si>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</si>
  <si>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</si>
  <si>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</si>
  <si>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</si>
  <si>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</si>
  <si>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</si>
  <si>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</si>
  <si>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</si>
  <si>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</si>
  <si>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</si>
  <si>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</si>
  <si>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</si>
  <si>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</si>
  <si>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</si>
  <si>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</si>
  <si>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</si>
  <si>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</si>
  <si>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</si>
  <si>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</si>
  <si>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</si>
  <si>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</si>
  <si>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</si>
  <si>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</si>
  <si>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</si>
  <si>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</si>
  <si>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</si>
  <si>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</si>
  <si>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</si>
  <si>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</si>
  <si>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</si>
  <si>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</si>
  <si>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</si>
  <si>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</si>
  <si>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</si>
  <si>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</si>
  <si>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</si>
  <si>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</si>
  <si>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</si>
  <si>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</si>
  <si>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</si>
  <si>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</si>
  <si>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</si>
  <si>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</si>
  <si>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</si>
  <si>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</si>
  <si>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</si>
  <si>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</si>
  <si>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</si>
  <si>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</si>
  <si>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</si>
  <si>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</si>
  <si>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</si>
  <si>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</si>
  <si>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</si>
  <si>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</si>
  <si>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</si>
  <si>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</si>
  <si>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</si>
  <si>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</si>
  <si>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</si>
  <si>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</si>
  <si>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</si>
  <si>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</si>
  <si>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</si>
  <si>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</si>
  <si>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</si>
  <si>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</si>
  <si>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</si>
  <si>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</si>
  <si>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</si>
  <si>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</si>
  <si>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</si>
  <si>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</si>
  <si>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</si>
  <si>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</si>
  <si>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</si>
  <si>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</si>
  <si>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</si>
  <si>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</si>
  <si>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</si>
  <si>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</si>
  <si>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</si>
  <si>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</si>
  <si>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</si>
  <si>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</si>
  <si>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</si>
  <si>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</si>
  <si>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</si>
  <si>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</si>
  <si>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</si>
  <si>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</si>
  <si>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</si>
  <si>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</si>
  <si>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</si>
  <si>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</si>
  <si>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</si>
  <si>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</si>
  <si>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</si>
  <si>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</si>
  <si>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</si>
  <si>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</si>
  <si>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</si>
  <si>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</si>
  <si>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</si>
  <si>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</si>
  <si>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</si>
  <si>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</si>
  <si>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</si>
  <si>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</si>
  <si>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</si>
  <si>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</si>
  <si>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</si>
  <si>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</si>
  <si>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</si>
  <si>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</si>
  <si>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</si>
  <si>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</si>
  <si>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</si>
  <si>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</si>
  <si>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</si>
  <si>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</si>
  <si>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</si>
  <si>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</si>
  <si>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</si>
  <si>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</si>
  <si>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</si>
  <si>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</si>
  <si>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</si>
  <si>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</si>
  <si>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</si>
  <si>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</si>
  <si>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</si>
  <si>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</si>
  <si>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</si>
  <si>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</si>
  <si>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</si>
  <si>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</si>
  <si>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</si>
  <si>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</si>
  <si>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</si>
  <si>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</si>
  <si>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</si>
  <si>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</si>
  <si>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</si>
  <si>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</si>
  <si>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</si>
  <si>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</si>
  <si>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</si>
  <si>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</si>
  <si>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</si>
  <si>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</si>
  <si>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</si>
  <si>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</si>
  <si>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</si>
  <si>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</si>
  <si>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</si>
  <si>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</si>
  <si>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</si>
  <si>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</si>
  <si>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</si>
  <si>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</si>
  <si>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</si>
  <si>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</si>
  <si>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</si>
  <si>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</si>
  <si>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</si>
  <si>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</si>
  <si>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</si>
  <si>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</si>
  <si>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</si>
  <si>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</si>
  <si>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</si>
  <si>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</si>
  <si>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</si>
  <si>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</si>
  <si>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</si>
  <si>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</si>
  <si>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</si>
  <si>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</si>
  <si>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</si>
  <si>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</si>
  <si>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</si>
  <si>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</si>
  <si>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</si>
  <si>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</si>
  <si>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</si>
  <si>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</si>
  <si>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</si>
  <si>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</si>
  <si>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</si>
  <si>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</si>
  <si>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</si>
  <si>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</si>
  <si>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</si>
  <si>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</si>
  <si>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</si>
  <si>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</si>
  <si>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</si>
  <si>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</si>
  <si>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</si>
  <si>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</si>
  <si>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</si>
  <si>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</si>
  <si>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</si>
  <si>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</si>
  <si>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</si>
  <si>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</si>
  <si>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</si>
  <si>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</si>
  <si>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</si>
  <si>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</si>
  <si>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</si>
  <si>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</si>
  <si>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</si>
  <si>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</si>
  <si>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</si>
  <si>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</si>
  <si>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</si>
  <si>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</si>
  <si>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</si>
  <si>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</si>
  <si>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</si>
  <si>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</si>
  <si>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</si>
  <si>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</si>
  <si>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</si>
  <si>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</si>
  <si>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</si>
  <si>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</si>
  <si>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</si>
  <si>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</si>
  <si>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</si>
  <si>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</si>
  <si>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</si>
  <si>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</si>
  <si>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</si>
  <si>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</si>
  <si>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</si>
  <si>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</si>
  <si>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</si>
  <si>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</si>
  <si>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</si>
  <si>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</si>
  <si>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</si>
  <si>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</si>
  <si>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</si>
  <si>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</si>
  <si>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</si>
  <si>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</si>
  <si>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</si>
  <si>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</si>
  <si>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</si>
  <si>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</si>
  <si>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</si>
  <si>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</si>
  <si>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</si>
  <si>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</si>
  <si>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</si>
  <si>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</si>
  <si>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</si>
  <si>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</si>
  <si>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</si>
  <si>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</si>
  <si>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</si>
  <si>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</si>
  <si>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</si>
  <si>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</si>
  <si>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</si>
  <si>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</si>
  <si>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</si>
  <si>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</si>
  <si>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</si>
  <si>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</si>
  <si>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</si>
  <si>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</si>
  <si>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</si>
  <si>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</si>
  <si>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</si>
  <si>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</si>
  <si>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</si>
  <si>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</si>
  <si>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</si>
  <si>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</si>
  <si>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</si>
  <si>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</si>
  <si>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</si>
  <si>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</si>
  <si>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</si>
  <si>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</si>
  <si>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</si>
  <si>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</si>
  <si>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</si>
  <si>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</si>
  <si>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</si>
  <si>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</si>
  <si>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</si>
  <si>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</si>
  <si>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</si>
  <si>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</si>
  <si>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</si>
  <si>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</si>
  <si>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</si>
  <si>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</si>
  <si>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</si>
  <si>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</si>
  <si>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</si>
  <si>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</si>
  <si>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</si>
  <si>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</si>
  <si>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</si>
  <si>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</si>
  <si>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</si>
  <si>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</si>
  <si>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</si>
  <si>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</si>
  <si>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</si>
  <si>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</si>
  <si>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</si>
  <si>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</si>
  <si>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</si>
  <si>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</si>
  <si>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</si>
  <si>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</si>
  <si>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</si>
  <si>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</si>
  <si>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</si>
  <si>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</si>
  <si>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</si>
  <si>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</si>
  <si>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</si>
  <si>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</si>
  <si>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</si>
  <si>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</si>
  <si>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</si>
  <si>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</si>
  <si>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</si>
  <si>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</si>
  <si>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</si>
  <si>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</si>
  <si>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</si>
  <si>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</si>
  <si>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</si>
  <si>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</si>
  <si>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</si>
  <si>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</si>
  <si>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</si>
  <si>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</si>
  <si>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</si>
  <si>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</si>
  <si>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</si>
  <si>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</si>
  <si>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</si>
  <si>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</si>
  <si>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</si>
  <si>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</si>
  <si>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</si>
  <si>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</si>
  <si>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</si>
  <si>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</si>
  <si>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</si>
  <si>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</si>
  <si>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</si>
  <si>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</si>
  <si>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</si>
  <si>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</si>
  <si>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</si>
  <si>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</si>
  <si>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</si>
  <si>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</si>
  <si>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</si>
  <si>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</si>
  <si>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</si>
  <si>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</si>
  <si>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</si>
  <si>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</si>
  <si>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</si>
  <si>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</si>
  <si>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</si>
  <si>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</si>
  <si>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</si>
  <si>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</si>
  <si>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</si>
  <si>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</si>
  <si>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</si>
  <si>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</si>
  <si>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</si>
  <si>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</si>
  <si>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</si>
  <si>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</si>
  <si>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</si>
  <si>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</si>
  <si>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</si>
  <si>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</si>
  <si>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</si>
  <si>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</si>
  <si>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</si>
  <si>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</si>
  <si>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</si>
  <si>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</si>
  <si>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</si>
  <si>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</si>
  <si>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</si>
  <si>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</si>
  <si>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</si>
  <si>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</si>
  <si>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</si>
  <si>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</si>
  <si>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</si>
  <si>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</si>
  <si>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</si>
  <si>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</si>
  <si>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</si>
  <si>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</si>
  <si>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</si>
  <si>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</si>
  <si>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</si>
  <si>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</si>
  <si>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</si>
  <si>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</si>
  <si>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</si>
  <si>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</si>
  <si>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</si>
  <si>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</si>
  <si>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</si>
  <si>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</si>
  <si>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</si>
  <si>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</si>
  <si>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</si>
  <si>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</si>
  <si>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</si>
  <si>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</si>
  <si>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</si>
  <si>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</si>
  <si>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</si>
  <si>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</si>
  <si>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</si>
  <si>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</si>
  <si>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</si>
  <si>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</si>
  <si>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</si>
  <si>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</si>
  <si>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</si>
  <si>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</si>
  <si>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</si>
  <si>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</si>
  <si>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</si>
  <si>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</si>
  <si>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</si>
  <si>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</si>
  <si>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</si>
  <si>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</si>
  <si>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</si>
  <si>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</si>
  <si>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</si>
  <si>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</si>
  <si>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</si>
  <si>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</si>
  <si>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</si>
  <si>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</si>
  <si>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</si>
  <si>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</si>
  <si>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</si>
  <si>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</si>
  <si>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</si>
  <si>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</si>
  <si>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</si>
  <si>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</si>
  <si>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</si>
  <si>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</si>
  <si>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</si>
  <si>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</si>
  <si>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</si>
  <si>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</si>
  <si>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</si>
  <si>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</si>
  <si>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</si>
  <si>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</si>
  <si>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</si>
  <si>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</si>
  <si>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</si>
  <si>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</si>
  <si>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</si>
  <si>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</si>
  <si>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</si>
  <si>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</si>
  <si>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</si>
  <si>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</si>
  <si>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</si>
  <si>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</si>
  <si>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</si>
  <si>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</si>
  <si>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</si>
  <si>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</si>
  <si>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</si>
  <si>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</si>
  <si>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</si>
  <si>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</si>
  <si>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</si>
  <si>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</si>
  <si>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</si>
  <si>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</si>
  <si>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</si>
  <si>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</si>
  <si>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</si>
  <si>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</si>
  <si>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</si>
  <si>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</si>
  <si>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</si>
  <si>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</si>
  <si>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</si>
  <si>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</si>
  <si>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</si>
  <si>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</si>
  <si>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</si>
  <si>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</si>
  <si>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</si>
  <si>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</si>
  <si>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</si>
  <si>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</si>
  <si>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</si>
  <si>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</si>
  <si>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</si>
  <si>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</si>
  <si>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</si>
  <si>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</si>
  <si>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</si>
  <si>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</si>
  <si>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</si>
  <si>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</si>
  <si>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</si>
  <si>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</si>
  <si>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</si>
  <si>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</si>
  <si>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</si>
  <si>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</si>
  <si>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</si>
  <si>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</si>
  <si>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</si>
  <si>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</si>
  <si>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</si>
  <si>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</si>
  <si>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</si>
  <si>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</si>
  <si>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</si>
  <si>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</si>
  <si>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</si>
  <si>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</si>
  <si>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</si>
  <si>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</si>
  <si>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</si>
  <si>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</si>
  <si>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</si>
  <si>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</si>
  <si>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</si>
  <si>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</si>
  <si>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</si>
  <si>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</si>
  <si>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</si>
  <si>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</si>
  <si>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</si>
  <si>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</si>
  <si>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</si>
  <si>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</si>
  <si>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</si>
  <si>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</si>
  <si>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</si>
  <si>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</si>
  <si>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</si>
  <si>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</si>
  <si>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</si>
  <si>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</si>
  <si>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</si>
  <si>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</si>
  <si>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</si>
  <si>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</si>
  <si>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</si>
  <si>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</si>
  <si>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</si>
  <si>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</si>
  <si>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</si>
  <si>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</si>
  <si>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</si>
  <si>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</si>
  <si>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</si>
  <si>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</si>
  <si>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</si>
  <si>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</si>
  <si>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</si>
  <si>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</si>
  <si>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</si>
  <si>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</si>
  <si>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</si>
  <si>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</si>
  <si>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</si>
  <si>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</si>
  <si>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</si>
  <si>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</si>
  <si>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</si>
  <si>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</si>
  <si>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</si>
  <si>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</si>
  <si>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</si>
  <si>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</si>
  <si>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</si>
  <si>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</si>
  <si>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</si>
  <si>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</si>
  <si>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</si>
  <si>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</si>
  <si>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</si>
  <si>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</si>
  <si>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</si>
  <si>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</si>
  <si>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</si>
  <si>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</si>
  <si>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</si>
  <si>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</si>
  <si>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</si>
  <si>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</si>
  <si>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</si>
  <si>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</si>
  <si>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</si>
  <si>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</si>
  <si>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</si>
  <si>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</si>
  <si>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</si>
  <si>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</si>
  <si>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</si>
  <si>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</si>
  <si>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</si>
  <si>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</si>
  <si>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</si>
  <si>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</si>
  <si>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</si>
  <si>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</si>
  <si>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</si>
  <si>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</si>
  <si>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</si>
  <si>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</si>
  <si>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</si>
  <si>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</si>
  <si>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</si>
  <si>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</si>
  <si>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</si>
  <si>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</si>
  <si>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</si>
  <si>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</si>
  <si>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</si>
  <si>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</si>
  <si>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</si>
  <si>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</si>
  <si>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</si>
  <si>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</si>
  <si>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</si>
  <si>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</si>
  <si>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</si>
  <si>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</si>
  <si>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</si>
  <si>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</si>
  <si>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</si>
  <si>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</si>
  <si>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</si>
  <si>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</si>
  <si>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</si>
  <si>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</si>
  <si>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</si>
  <si>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</si>
  <si>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</si>
  <si>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</si>
  <si>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</si>
  <si>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</si>
  <si>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</si>
  <si>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</si>
  <si>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</si>
  <si>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</si>
  <si>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</si>
  <si>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</si>
  <si>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</si>
  <si>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</si>
  <si>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</si>
  <si>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</si>
  <si>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</si>
  <si>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</si>
  <si>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</si>
  <si>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</si>
  <si>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</si>
  <si>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</si>
  <si>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</si>
  <si>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</si>
  <si>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</si>
  <si>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</si>
  <si>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</si>
  <si>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</si>
  <si>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</si>
  <si>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</si>
  <si>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</si>
  <si>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</si>
  <si>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</si>
  <si>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</si>
  <si>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</si>
  <si>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</si>
  <si>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</si>
  <si>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</si>
  <si>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</si>
  <si>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</si>
  <si>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</si>
  <si>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</si>
  <si>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</si>
  <si>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</si>
  <si>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</si>
  <si>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</si>
  <si>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</si>
  <si>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</si>
  <si>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</si>
  <si>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</si>
  <si>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</si>
  <si>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</si>
  <si>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</si>
  <si>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</si>
  <si>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</si>
  <si>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</si>
  <si>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</si>
  <si>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</si>
  <si>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</si>
  <si>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</si>
  <si>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</si>
  <si>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</si>
  <si>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</si>
  <si>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</si>
  <si>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</si>
  <si>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</si>
  <si>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</si>
  <si>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</si>
  <si>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</si>
  <si>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</si>
  <si>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</si>
  <si>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</si>
  <si>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</si>
  <si>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</si>
  <si>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</si>
  <si>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</si>
  <si>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</si>
  <si>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</si>
  <si>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</si>
  <si>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</si>
  <si>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</si>
  <si>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</si>
  <si>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</si>
  <si>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</si>
  <si>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</si>
  <si>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</si>
  <si>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</si>
  <si>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</si>
  <si>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</si>
  <si>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</si>
  <si>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</si>
  <si>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</si>
  <si>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</si>
  <si>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</si>
  <si>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</si>
  <si>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</si>
  <si>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</si>
  <si>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</si>
  <si>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</si>
  <si>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</si>
  <si>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</si>
  <si>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</si>
  <si>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</si>
  <si>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</si>
  <si>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</si>
  <si>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</si>
  <si>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</si>
  <si>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</si>
  <si>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</si>
  <si>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</si>
  <si>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</si>
  <si>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</si>
  <si>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</si>
  <si>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</si>
  <si>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</si>
  <si>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</si>
  <si>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</si>
  <si>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</si>
  <si>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</si>
  <si>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</si>
  <si>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</si>
  <si>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</si>
  <si>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</si>
  <si>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</si>
  <si>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</si>
  <si>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</si>
  <si>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</si>
  <si>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</si>
  <si>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</si>
  <si>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</si>
  <si>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</si>
  <si>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</si>
  <si>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</si>
  <si>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</si>
  <si>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</si>
  <si>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</si>
  <si>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</si>
  <si>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</si>
  <si>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</si>
  <si>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</si>
  <si>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</si>
  <si>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</si>
  <si>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</si>
  <si>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</si>
  <si>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</si>
  <si>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</si>
  <si>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</si>
  <si>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</si>
  <si>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</si>
  <si>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</si>
  <si>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</si>
  <si>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</si>
  <si>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</si>
  <si>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</si>
  <si>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</si>
  <si>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</si>
  <si>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</si>
  <si>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</si>
  <si>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</si>
  <si>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</si>
  <si>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</si>
  <si>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</si>
  <si>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</si>
  <si>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</si>
  <si>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</si>
  <si>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</si>
  <si>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</si>
  <si>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</si>
  <si>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</si>
  <si>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</si>
  <si>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</si>
  <si>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</si>
  <si>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</si>
  <si>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</si>
  <si>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</si>
  <si>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</si>
  <si>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</si>
  <si>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</si>
  <si>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</si>
  <si>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</si>
  <si>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</si>
  <si>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</si>
  <si>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</si>
  <si>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</si>
  <si>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</si>
  <si>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</si>
  <si>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</si>
  <si>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</si>
  <si>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</si>
  <si>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</si>
  <si>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</si>
  <si>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</si>
  <si>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</si>
  <si>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</si>
  <si>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</si>
  <si>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</si>
  <si>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</si>
  <si>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</si>
  <si>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</si>
  <si>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</si>
  <si>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</si>
  <si>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</si>
  <si>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</si>
  <si>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</si>
  <si>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</si>
  <si>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</si>
  <si>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</si>
  <si>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</si>
  <si>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</si>
  <si>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</si>
  <si>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</si>
  <si>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</si>
  <si>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</si>
  <si>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</si>
  <si>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</si>
  <si>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</si>
  <si>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</si>
  <si>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</si>
  <si>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</si>
  <si>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</si>
  <si>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</si>
  <si>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</si>
  <si>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</si>
  <si>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</si>
  <si>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</si>
  <si>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</si>
  <si>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</si>
  <si>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</si>
  <si>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</si>
  <si>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</si>
  <si>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</si>
  <si>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</si>
  <si>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</si>
  <si>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</si>
  <si>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</si>
  <si>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</si>
  <si>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</si>
  <si>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</si>
  <si>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</si>
  <si>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</si>
  <si>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</si>
  <si>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</si>
  <si>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</si>
  <si>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</si>
  <si>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</si>
  <si>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</si>
  <si>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</si>
  <si>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</si>
  <si>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</si>
  <si>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</si>
  <si>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</si>
  <si>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</si>
  <si>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</si>
  <si>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</si>
  <si>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</si>
  <si>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</si>
  <si>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</si>
  <si>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</si>
  <si>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</si>
  <si>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</si>
  <si>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</si>
  <si>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</si>
  <si>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</si>
  <si>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</si>
  <si>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</si>
  <si>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</si>
  <si>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</si>
  <si>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</si>
  <si>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</si>
  <si>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</si>
  <si>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</si>
  <si>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</si>
  <si>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</si>
  <si>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</si>
  <si>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</si>
  <si>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</si>
  <si>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</si>
  <si>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</si>
  <si>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</si>
  <si>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</si>
  <si>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</si>
  <si>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</si>
  <si>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</si>
  <si>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</si>
  <si>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</si>
  <si>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</si>
  <si>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</si>
  <si>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</si>
  <si>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</si>
  <si>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</si>
  <si>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</si>
  <si>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</si>
  <si>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</si>
  <si>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</si>
  <si>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</si>
  <si>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</si>
  <si>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</si>
  <si>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</si>
  <si>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</si>
  <si>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</si>
  <si>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</si>
  <si>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</si>
  <si>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</si>
  <si>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</si>
  <si>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</si>
  <si>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</si>
  <si>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</si>
  <si>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</si>
  <si>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</si>
  <si>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</si>
  <si>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</si>
  <si>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</si>
  <si>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</si>
  <si>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</si>
  <si>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</si>
  <si>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</si>
  <si>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</si>
  <si>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</si>
  <si>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</si>
  <si>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</si>
  <si>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</si>
  <si>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</si>
  <si>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</si>
  <si>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</si>
  <si>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</si>
  <si>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</si>
  <si>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</si>
  <si>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</si>
  <si>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</si>
  <si>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</si>
  <si>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</si>
  <si>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</si>
  <si>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</si>
  <si>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</si>
  <si>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</si>
  <si>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</si>
  <si>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</si>
  <si>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</si>
  <si>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</si>
  <si>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</si>
  <si>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</si>
  <si>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</si>
  <si>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</si>
  <si>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</si>
  <si>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</si>
  <si>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</si>
  <si>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</si>
  <si>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</si>
  <si>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</si>
  <si>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</si>
  <si>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</si>
  <si>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</si>
  <si>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</si>
  <si>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</si>
  <si>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</si>
  <si>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</si>
  <si>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</si>
  <si>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</si>
  <si>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</si>
  <si>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</si>
  <si>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</si>
  <si>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</si>
  <si>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</si>
  <si>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</si>
  <si>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</si>
  <si>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</si>
  <si>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</si>
  <si>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</si>
  <si>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</si>
  <si>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</si>
  <si>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</si>
  <si>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</si>
  <si>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</si>
  <si>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</si>
  <si>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</si>
  <si>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</si>
  <si>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</si>
  <si>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</si>
  <si>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</si>
  <si>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</si>
  <si>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</si>
  <si>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</si>
  <si>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</si>
  <si>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</si>
  <si>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</si>
  <si>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</si>
  <si>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</si>
  <si>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</si>
  <si>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</si>
  <si>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</si>
  <si>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</si>
  <si>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</si>
  <si>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</si>
  <si>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</si>
  <si>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</si>
  <si>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</si>
  <si>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</si>
  <si>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</si>
  <si>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</si>
  <si>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</si>
  <si>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</si>
  <si>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</si>
  <si>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</si>
  <si>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</si>
  <si>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</si>
  <si>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</si>
  <si>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</si>
  <si>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</si>
  <si>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</si>
  <si>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</si>
  <si>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</si>
  <si>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</si>
  <si>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</si>
  <si>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</si>
  <si>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</si>
  <si>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</si>
  <si>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</si>
  <si>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</si>
  <si>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</si>
  <si>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</si>
  <si>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</si>
  <si>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</si>
  <si>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</si>
  <si>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</si>
  <si>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</si>
  <si>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</si>
  <si>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</si>
  <si>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</si>
  <si>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</si>
  <si>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</si>
  <si>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</si>
  <si>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</si>
  <si>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</si>
  <si>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</si>
  <si>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</si>
  <si>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</si>
  <si>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</si>
  <si>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</si>
  <si>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</si>
  <si>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</si>
  <si>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</si>
  <si>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</si>
  <si>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</si>
  <si>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</si>
  <si>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</si>
  <si>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</si>
  <si>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</si>
  <si>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</si>
  <si>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</si>
  <si>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</si>
  <si>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</si>
  <si>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</si>
  <si>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</si>
  <si>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</si>
  <si>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</si>
  <si>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</si>
  <si>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</si>
  <si>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</si>
  <si>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</si>
  <si>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</si>
  <si>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</si>
  <si>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</si>
  <si>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</si>
  <si>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</si>
  <si>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</si>
  <si>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</si>
  <si>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</si>
  <si>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</si>
  <si>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</si>
  <si>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</si>
  <si>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</si>
  <si>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</si>
  <si>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</si>
  <si>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</si>
  <si>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</si>
  <si>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</si>
  <si>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</si>
  <si>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</si>
  <si>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</si>
  <si>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</si>
  <si>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</si>
  <si>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</si>
  <si>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</si>
  <si>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</si>
  <si>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</si>
  <si>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</si>
  <si>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</si>
  <si>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</si>
  <si>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</si>
  <si>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</si>
  <si>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</si>
  <si>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</si>
  <si>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</si>
  <si>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</si>
  <si>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</si>
  <si>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</si>
  <si>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</si>
  <si>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</si>
  <si>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</si>
  <si>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</si>
  <si>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</si>
  <si>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</si>
  <si>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</si>
  <si>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</si>
  <si>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</si>
  <si>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</si>
  <si>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</si>
  <si>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</si>
  <si>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</si>
  <si>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</si>
  <si>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</si>
  <si>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</si>
  <si>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</si>
  <si>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</si>
  <si>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</si>
  <si>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</si>
  <si>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</si>
  <si>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</si>
  <si>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</si>
  <si>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</si>
  <si>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</si>
  <si>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</si>
  <si>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</si>
  <si>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</si>
  <si>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</si>
  <si>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</si>
  <si>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</si>
  <si>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</si>
  <si>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</si>
  <si>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</si>
  <si>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</si>
  <si>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</si>
  <si>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</si>
  <si>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</si>
  <si>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</si>
  <si>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</si>
  <si>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</si>
  <si>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</si>
  <si>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</si>
  <si>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</si>
  <si>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</si>
  <si>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</si>
  <si>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</si>
  <si>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</si>
  <si>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</si>
  <si>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</si>
  <si>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</si>
  <si>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</si>
  <si>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</si>
  <si>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</si>
  <si>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</si>
  <si>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</si>
  <si>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</si>
  <si>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</si>
  <si>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</si>
  <si>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</si>
  <si>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</si>
  <si>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</si>
  <si>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</si>
  <si>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</si>
  <si>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</si>
  <si>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</si>
  <si>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</si>
  <si>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</si>
  <si>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</si>
  <si>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</si>
  <si>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</si>
  <si>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</si>
  <si>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</si>
  <si>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</si>
  <si>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</si>
  <si>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</si>
  <si>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</si>
  <si>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</si>
  <si>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</si>
  <si>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</si>
  <si>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</si>
  <si>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</si>
  <si>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</si>
  <si>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</si>
  <si>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</si>
  <si>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</si>
  <si>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</si>
  <si>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</si>
  <si>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</si>
  <si>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</si>
  <si>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</si>
  <si>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</si>
  <si>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</si>
  <si>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</si>
  <si>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</si>
  <si>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</si>
  <si>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</si>
  <si>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</si>
  <si>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</si>
  <si>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</si>
  <si>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</si>
  <si>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</si>
  <si>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</si>
  <si>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</si>
  <si>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</si>
  <si>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</si>
  <si>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</si>
  <si>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</si>
  <si>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</si>
  <si>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</si>
  <si>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</si>
  <si>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</si>
  <si>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</si>
  <si>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</si>
  <si>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</si>
  <si>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</si>
  <si>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</si>
  <si>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</si>
  <si>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</si>
  <si>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</si>
  <si>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</si>
  <si>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</si>
  <si>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</si>
  <si>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</si>
  <si>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</si>
  <si>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</si>
  <si>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</si>
  <si>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</si>
  <si>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</si>
  <si>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</si>
  <si>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</si>
  <si>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</si>
  <si>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</si>
  <si>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</si>
  <si>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</si>
  <si>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</si>
  <si>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</si>
  <si>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</si>
  <si>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</si>
  <si>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</si>
  <si>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</si>
  <si>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</si>
  <si>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</si>
  <si>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</si>
  <si>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</si>
  <si>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</si>
  <si>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</si>
  <si>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</si>
  <si>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</si>
  <si>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</si>
  <si>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</si>
  <si>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</si>
  <si>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</si>
  <si>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</si>
  <si>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</si>
  <si>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</si>
  <si>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</si>
  <si>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</si>
  <si>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</si>
  <si>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</si>
  <si>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</si>
  <si>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</si>
  <si>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</si>
  <si>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</si>
  <si>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</si>
  <si>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</si>
  <si>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</si>
  <si>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</si>
  <si>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</si>
  <si>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</si>
  <si>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</si>
  <si>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</si>
  <si>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</si>
  <si>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</si>
  <si>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</si>
  <si>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</si>
  <si>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</si>
  <si>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</si>
  <si>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</si>
  <si>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</si>
  <si>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</si>
  <si>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</si>
  <si>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</si>
  <si>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</si>
  <si>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</si>
  <si>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</si>
  <si>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</si>
  <si>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</si>
  <si>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</si>
  <si>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</si>
  <si>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</si>
  <si>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</si>
  <si>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</si>
  <si>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</si>
  <si>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</si>
  <si>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</si>
  <si>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</si>
  <si>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</si>
  <si>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</si>
  <si>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</si>
  <si>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</si>
  <si>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</si>
  <si>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</si>
  <si>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</si>
  <si>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</si>
  <si>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</si>
  <si>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</si>
  <si>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</si>
  <si>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</si>
  <si>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</si>
  <si>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</si>
  <si>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</si>
  <si>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</si>
  <si>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</si>
  <si>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</si>
  <si>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</si>
  <si>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</si>
  <si>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</si>
  <si>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</si>
  <si>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</si>
  <si>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</si>
  <si>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</si>
  <si>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</si>
  <si>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</si>
  <si>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</si>
  <si>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</si>
  <si>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</si>
  <si>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</si>
  <si>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</si>
  <si>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</si>
  <si>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</si>
  <si>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</si>
  <si>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</si>
  <si>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</si>
  <si>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</si>
  <si>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</si>
  <si>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</si>
  <si>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</si>
  <si>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</si>
  <si>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</si>
  <si>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</si>
  <si>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</si>
  <si>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</si>
  <si>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</si>
  <si>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</si>
  <si>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</si>
  <si>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</si>
  <si>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</si>
  <si>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</si>
  <si>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</si>
  <si>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</si>
  <si>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</si>
  <si>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</si>
  <si>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</si>
  <si>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</si>
  <si>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</si>
  <si>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</si>
  <si>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</si>
  <si>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</si>
  <si>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</si>
  <si>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</si>
  <si>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</si>
  <si>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</si>
  <si>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</si>
  <si>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</si>
  <si>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</si>
  <si>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</si>
  <si>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</si>
  <si>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</si>
  <si>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</si>
  <si>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</si>
  <si>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</si>
  <si>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</si>
  <si>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</si>
  <si>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</si>
  <si>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</si>
  <si>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</si>
  <si>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</si>
  <si>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</si>
  <si>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</si>
  <si>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</si>
  <si>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</si>
  <si>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</si>
  <si>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</si>
  <si>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</si>
  <si>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</si>
  <si>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</si>
  <si>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</si>
  <si>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</si>
  <si>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</si>
  <si>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</si>
  <si>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</si>
  <si>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</si>
  <si>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</si>
  <si>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</si>
  <si>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</si>
  <si>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</si>
  <si>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</si>
  <si>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</si>
  <si>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</si>
  <si>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</si>
  <si>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</si>
  <si>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</si>
  <si>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</si>
  <si>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</si>
  <si>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</si>
  <si>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</si>
  <si>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</si>
  <si>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</si>
  <si>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</si>
  <si>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</si>
  <si>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</si>
  <si>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</si>
  <si>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</si>
  <si>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</si>
  <si>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</si>
  <si>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</si>
  <si>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</si>
  <si>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</si>
  <si>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</si>
  <si>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</si>
  <si>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</si>
  <si>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</si>
  <si>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</si>
  <si>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</si>
  <si>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</si>
  <si>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</si>
  <si>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</si>
  <si>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</si>
  <si>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</si>
  <si>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</si>
  <si>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</si>
  <si>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</si>
  <si>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</si>
  <si>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</si>
  <si>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</si>
  <si>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</si>
  <si>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</si>
  <si>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</si>
  <si>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</si>
  <si>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</si>
  <si>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</si>
  <si>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</si>
  <si>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</si>
  <si>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</si>
  <si>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</si>
  <si>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</si>
  <si>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</si>
  <si>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</si>
  <si>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</si>
  <si>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</si>
  <si>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</si>
  <si>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</si>
  <si>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</si>
  <si>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</si>
  <si>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</si>
  <si>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</si>
  <si>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</si>
  <si>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</si>
  <si>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</si>
  <si>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</si>
  <si>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</si>
  <si>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</si>
  <si>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</si>
  <si>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</si>
  <si>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</si>
  <si>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</si>
  <si>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</si>
  <si>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</si>
  <si>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</si>
  <si>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</si>
  <si>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</si>
  <si>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</si>
  <si>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</si>
  <si>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</si>
  <si>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</si>
  <si>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</si>
  <si>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</si>
  <si>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</si>
  <si>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</si>
  <si>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</si>
  <si>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</si>
  <si>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</si>
  <si>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</si>
  <si>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</si>
  <si>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</si>
  <si>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</si>
  <si>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</si>
  <si>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</si>
  <si>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</si>
  <si>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</si>
  <si>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</si>
  <si>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</si>
  <si>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</si>
  <si>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</si>
  <si>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</si>
  <si>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</si>
  <si>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</si>
  <si>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</si>
  <si>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</si>
  <si>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</si>
  <si>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</si>
  <si>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</si>
  <si>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</si>
  <si>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</si>
  <si>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</si>
  <si>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</si>
  <si>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</si>
  <si>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</si>
  <si>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</si>
  <si>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</si>
  <si>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</si>
  <si>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</si>
  <si>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</si>
  <si>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</si>
  <si>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</si>
  <si>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</si>
  <si>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</si>
  <si>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</si>
  <si>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</si>
  <si>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</si>
  <si>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</si>
  <si>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</si>
  <si>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</si>
  <si>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</si>
  <si>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</si>
  <si>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</si>
  <si>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</si>
  <si>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</si>
  <si>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</si>
  <si>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</si>
  <si>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</si>
  <si>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</si>
  <si>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</si>
  <si>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</si>
  <si>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</si>
  <si>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</si>
  <si>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</si>
  <si>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</si>
  <si>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</si>
  <si>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</si>
  <si>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</si>
  <si>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</si>
  <si>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</si>
  <si>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</si>
  <si>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</si>
  <si>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</si>
  <si>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</si>
  <si>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</si>
  <si>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</si>
  <si>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</si>
  <si>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</si>
  <si>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</si>
  <si>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</si>
  <si>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</si>
  <si>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</si>
  <si>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</si>
  <si>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</si>
  <si>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</si>
  <si>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</si>
  <si>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</si>
  <si>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</si>
  <si>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</si>
  <si>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</si>
  <si>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</si>
  <si>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</si>
  <si>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</si>
  <si>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</si>
  <si>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</si>
  <si>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</si>
  <si>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</si>
  <si>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</si>
  <si>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</si>
  <si>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</si>
  <si>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</si>
  <si>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</si>
  <si>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</si>
  <si>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</si>
  <si>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</si>
  <si>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</si>
  <si>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</si>
  <si>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</si>
  <si>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</si>
  <si>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</si>
  <si>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</si>
  <si>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</si>
  <si>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</si>
  <si>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</si>
  <si>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</si>
  <si>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</si>
  <si>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</si>
  <si>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</si>
  <si>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</si>
  <si>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</si>
  <si>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</si>
  <si>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</si>
  <si>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</si>
  <si>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</si>
  <si>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</si>
  <si>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</si>
  <si>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</si>
  <si>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</si>
  <si>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</si>
  <si>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</si>
  <si>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</si>
  <si>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</si>
  <si>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</si>
  <si>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</si>
  <si>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</si>
  <si>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</si>
  <si>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</si>
  <si>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</si>
  <si>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</si>
  <si>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</si>
  <si>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</si>
  <si>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</si>
  <si>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</si>
  <si>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</si>
  <si>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</si>
  <si>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</si>
  <si>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</si>
  <si>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</si>
  <si>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</si>
  <si>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</si>
  <si>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</si>
  <si>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</si>
  <si>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</si>
  <si>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</si>
  <si>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</si>
  <si>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</si>
  <si>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</si>
  <si>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</si>
  <si>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</si>
  <si>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</si>
  <si>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</si>
  <si>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</si>
  <si>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</si>
  <si>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</si>
  <si>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</si>
  <si>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</si>
  <si>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</si>
  <si>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</si>
  <si>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</si>
  <si>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</si>
  <si>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</si>
  <si>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</si>
  <si>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</si>
  <si>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</si>
  <si>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</si>
  <si>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</si>
  <si>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</si>
  <si>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</si>
  <si>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</si>
  <si>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</si>
  <si>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</si>
  <si>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</si>
  <si>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</si>
  <si>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</si>
  <si>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</si>
  <si>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</si>
  <si>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</si>
  <si>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</si>
  <si>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</si>
  <si>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</si>
  <si>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</si>
  <si>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</si>
  <si>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</si>
  <si>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</si>
  <si>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</si>
  <si>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</si>
  <si>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</si>
  <si>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</si>
  <si>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</si>
  <si>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</si>
  <si>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</si>
  <si>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</si>
  <si>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</si>
  <si>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</si>
  <si>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</si>
  <si>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</si>
  <si>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</si>
  <si>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</si>
  <si>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</si>
  <si>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</si>
  <si>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</si>
  <si>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</si>
  <si>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</si>
  <si>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</si>
  <si>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</si>
  <si>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</si>
  <si>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</si>
  <si>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</si>
  <si>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</si>
  <si>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</si>
  <si>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</si>
  <si>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</si>
  <si>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</si>
  <si>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</si>
  <si>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</si>
  <si>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</si>
  <si>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</si>
  <si>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</si>
  <si>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</si>
  <si>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</si>
  <si>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</si>
  <si>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</si>
  <si>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</si>
  <si>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</si>
  <si>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</si>
  <si>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</si>
  <si>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</si>
  <si>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</si>
  <si>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</si>
  <si>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</si>
  <si>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</si>
  <si>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</si>
  <si>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</si>
  <si>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</si>
  <si>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</si>
  <si>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</si>
  <si>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</si>
  <si>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</si>
  <si>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</si>
  <si>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</si>
  <si>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</si>
  <si>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</si>
  <si>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</si>
  <si>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</si>
  <si>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</si>
  <si>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</si>
  <si>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</si>
  <si>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</si>
  <si>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</si>
  <si>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</si>
  <si>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</si>
  <si>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</si>
  <si>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</si>
  <si>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</si>
  <si>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</si>
  <si>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</si>
  <si>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</si>
  <si>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</si>
  <si>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</si>
  <si>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</si>
  <si>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</si>
  <si>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</si>
  <si>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</si>
  <si>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</si>
  <si>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</si>
  <si>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</si>
  <si>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</si>
  <si>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</si>
  <si>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</si>
  <si>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</si>
  <si>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</si>
  <si>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</si>
  <si>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</si>
  <si>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</si>
  <si>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</si>
  <si>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</si>
  <si>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</si>
  <si>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</si>
  <si>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</si>
  <si>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</si>
  <si>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</si>
  <si>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</si>
  <si>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</si>
  <si>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</si>
  <si>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</si>
  <si>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</si>
  <si>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</si>
  <si>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</si>
  <si>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</si>
  <si>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</si>
  <si>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</si>
  <si>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</si>
  <si>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</si>
  <si>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</si>
  <si>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</si>
  <si>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</si>
  <si>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</si>
  <si>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</si>
  <si>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</si>
  <si>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</si>
  <si>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</si>
  <si>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</si>
  <si>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</si>
  <si>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</si>
  <si>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</si>
  <si>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</si>
  <si>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</si>
  <si>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</si>
  <si>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</si>
  <si>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</si>
  <si>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</si>
  <si>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</si>
  <si>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</si>
  <si>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</si>
  <si>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</si>
  <si>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</si>
  <si>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</si>
  <si>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</si>
  <si>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</si>
  <si>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</si>
  <si>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</si>
  <si>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</si>
  <si>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</si>
  <si>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</si>
  <si>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</si>
  <si>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</si>
  <si>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</si>
  <si>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</si>
  <si>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</si>
  <si>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</si>
  <si>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</si>
  <si>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</si>
  <si>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</si>
  <si>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</si>
  <si>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</si>
  <si>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</si>
  <si>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</si>
  <si>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</si>
  <si>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</si>
  <si>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</si>
  <si>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</si>
  <si>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</si>
  <si>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</si>
  <si>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</si>
  <si>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</si>
  <si>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</si>
  <si>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</si>
  <si>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</si>
  <si>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</si>
  <si>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</si>
  <si>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</si>
  <si>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</si>
  <si>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</si>
  <si>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</si>
  <si>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</si>
  <si>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</si>
  <si>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</si>
  <si>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</si>
  <si>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</si>
  <si>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</si>
  <si>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</si>
  <si>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</si>
  <si>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</si>
  <si>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</si>
  <si>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</si>
  <si>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</si>
  <si>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</si>
  <si>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</si>
  <si>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</si>
  <si>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</si>
  <si>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</si>
  <si>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</si>
  <si>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</si>
  <si>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</si>
  <si>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</si>
  <si>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</si>
  <si>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</si>
  <si>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</si>
  <si>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</si>
  <si>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</si>
  <si>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</si>
  <si>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</si>
  <si>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</si>
  <si>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</si>
  <si>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</si>
  <si>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</si>
  <si>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</si>
  <si>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</si>
  <si>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</si>
  <si>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</si>
  <si>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</si>
  <si>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</si>
  <si>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</si>
  <si>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</si>
  <si>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</si>
  <si>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</si>
  <si>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</si>
  <si>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</si>
  <si>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</si>
  <si>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</si>
  <si>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</si>
  <si>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</si>
  <si>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</si>
  <si>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</si>
  <si>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</si>
  <si>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</si>
  <si>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</si>
  <si>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</si>
  <si>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</si>
  <si>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</si>
  <si>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</si>
  <si>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</si>
  <si>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</si>
  <si>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</si>
  <si>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</si>
  <si>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</si>
  <si>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</si>
  <si>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</si>
  <si>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</si>
  <si>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</si>
  <si>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</si>
  <si>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</si>
  <si>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</si>
  <si>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</si>
  <si>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</si>
  <si>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</si>
  <si>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</si>
  <si>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</si>
  <si>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</si>
  <si>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</si>
  <si>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</si>
  <si>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</si>
  <si>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</si>
  <si>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</si>
  <si>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</si>
  <si>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</si>
  <si>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</si>
  <si>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</si>
  <si>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</si>
  <si>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</si>
  <si>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</si>
  <si>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</si>
  <si>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</si>
  <si>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</si>
  <si>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</si>
  <si>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</si>
  <si>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</si>
  <si>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</si>
  <si>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</si>
  <si>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</si>
  <si>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</si>
  <si>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</si>
  <si>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</si>
  <si>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</si>
  <si>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</si>
  <si>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</si>
  <si>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</si>
  <si>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</si>
  <si>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</si>
  <si>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</si>
  <si>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</si>
  <si>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</si>
  <si>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</si>
  <si>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</si>
  <si>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</si>
  <si>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</si>
  <si>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</si>
  <si>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</si>
  <si>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</si>
  <si>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</si>
  <si>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</si>
  <si>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</si>
  <si>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</si>
  <si>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</si>
  <si>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</si>
  <si>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</si>
  <si>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</si>
  <si>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</si>
  <si>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</si>
  <si>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</si>
  <si>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</si>
  <si>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</si>
  <si>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</si>
  <si>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</si>
  <si>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</si>
  <si>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</si>
  <si>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</si>
  <si>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</si>
  <si>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</si>
  <si>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</si>
  <si>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</si>
  <si>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</si>
  <si>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</si>
  <si>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</si>
  <si>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</si>
  <si>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</si>
  <si>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</si>
  <si>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</si>
  <si>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</si>
  <si>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</si>
  <si>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</si>
  <si>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</si>
  <si>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</si>
  <si>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</si>
  <si>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</si>
  <si>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</si>
  <si>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</si>
  <si>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</si>
  <si>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</si>
  <si>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</si>
  <si>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</si>
  <si>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</si>
  <si>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</si>
  <si>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</si>
  <si>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</si>
  <si>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</si>
  <si>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</si>
  <si>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</si>
  <si>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</si>
  <si>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</si>
  <si>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</si>
  <si>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</si>
  <si>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</si>
  <si>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</si>
  <si>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</si>
  <si>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</si>
  <si>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</si>
  <si>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</si>
  <si>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</si>
  <si>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</si>
  <si>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</si>
  <si>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</si>
  <si>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</si>
  <si>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</si>
  <si>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</si>
  <si>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</si>
  <si>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</si>
  <si>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</si>
  <si>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</si>
  <si>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</si>
  <si>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</si>
  <si>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</si>
  <si>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</si>
  <si>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</si>
  <si>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</si>
  <si>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</si>
  <si>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</si>
  <si>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</si>
  <si>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</si>
  <si>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</si>
  <si>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</si>
  <si>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</si>
  <si>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</si>
  <si>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</si>
  <si>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</si>
  <si>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</si>
  <si>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</si>
  <si>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</si>
  <si>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</si>
  <si>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</si>
  <si>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</si>
  <si>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</si>
  <si>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</si>
  <si>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</si>
  <si>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</si>
  <si>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</si>
  <si>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</si>
  <si>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</si>
  <si>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</si>
  <si>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</si>
  <si>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</si>
  <si>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</si>
  <si>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</si>
  <si>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</si>
  <si>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</si>
  <si>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</si>
  <si>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</si>
  <si>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</si>
  <si>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</si>
  <si>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</si>
  <si>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</si>
  <si>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</si>
  <si>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</si>
  <si>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</si>
  <si>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</si>
  <si>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</si>
  <si>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</si>
  <si>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</si>
  <si>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</si>
  <si>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</si>
  <si>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</si>
  <si>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</si>
  <si>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</si>
  <si>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</si>
  <si>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</si>
  <si>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</si>
  <si>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</si>
  <si>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</si>
  <si>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</si>
  <si>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</si>
  <si>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</si>
  <si>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</si>
  <si>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</si>
  <si>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</si>
  <si>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</si>
  <si>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</si>
  <si>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</si>
  <si>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</si>
  <si>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</si>
  <si>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</si>
  <si>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</si>
  <si>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</si>
  <si>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</si>
  <si>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</si>
  <si>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</si>
  <si>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</si>
  <si>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</si>
  <si>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</si>
  <si>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</si>
  <si>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</si>
  <si>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</si>
  <si>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</si>
  <si>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</si>
  <si>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</si>
  <si>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</si>
  <si>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</si>
  <si>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</si>
  <si>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</si>
  <si>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</si>
  <si>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</si>
  <si>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</si>
  <si>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</si>
  <si>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</si>
  <si>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</si>
  <si>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</si>
  <si>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</si>
  <si>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</si>
  <si>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</si>
  <si>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</si>
  <si>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</si>
  <si>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</si>
  <si>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</si>
  <si>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</si>
  <si>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</si>
  <si>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</si>
  <si>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</si>
  <si>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</si>
  <si>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</si>
  <si>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</si>
  <si>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</si>
  <si>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</si>
  <si>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</si>
  <si>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</si>
  <si>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</si>
  <si>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</si>
  <si>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</si>
  <si>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</si>
  <si>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</si>
  <si>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</si>
  <si>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</si>
  <si>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</si>
  <si>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</si>
  <si>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</si>
  <si>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</si>
  <si>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</si>
  <si>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</si>
  <si>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</si>
  <si>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</si>
  <si>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</si>
  <si>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</si>
  <si>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</si>
  <si>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</si>
  <si>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</si>
  <si>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</si>
  <si>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</si>
  <si>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</si>
  <si>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</si>
  <si>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</si>
  <si>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</si>
  <si>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</si>
  <si>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</si>
  <si>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</si>
  <si>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</si>
  <si>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</si>
  <si>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</si>
  <si>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</si>
  <si>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</si>
  <si>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</si>
  <si>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</si>
  <si>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</si>
  <si>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</si>
  <si>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</si>
  <si>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</si>
  <si>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</si>
  <si>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</si>
  <si>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</si>
  <si>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</si>
  <si>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</si>
  <si>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</si>
  <si>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</si>
  <si>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</si>
  <si>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</si>
  <si>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</si>
  <si>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</si>
  <si>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</si>
  <si>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</si>
  <si>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</si>
  <si>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</si>
  <si>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</si>
  <si>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</si>
  <si>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</si>
  <si>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</si>
  <si>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</si>
  <si>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</si>
  <si>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</si>
  <si>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</si>
  <si>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</si>
  <si>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</si>
  <si>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</si>
  <si>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</si>
  <si>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</si>
  <si>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</si>
  <si>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</si>
  <si>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</si>
  <si>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</si>
  <si>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</si>
  <si>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</si>
  <si>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</si>
  <si>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</si>
  <si>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</si>
  <si>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</si>
  <si>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</si>
  <si>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</si>
  <si>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</si>
  <si>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</si>
  <si>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</si>
  <si>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</si>
  <si>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</si>
  <si>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</si>
  <si>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</si>
  <si>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</si>
  <si>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</si>
  <si>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</si>
  <si>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</si>
  <si>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</si>
  <si>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</si>
  <si>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</si>
  <si>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</si>
  <si>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</si>
  <si>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</si>
  <si>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</si>
  <si>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</si>
  <si>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</si>
  <si>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</si>
  <si>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</si>
  <si>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</si>
  <si>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</si>
  <si>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</si>
  <si>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</si>
  <si>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</si>
  <si>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</si>
  <si>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</si>
  <si>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</si>
  <si>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</si>
  <si>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</si>
  <si>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</si>
  <si>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</si>
  <si>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</si>
  <si>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</si>
  <si>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</si>
  <si>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</si>
  <si>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</si>
  <si>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</si>
  <si>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</si>
  <si>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</si>
  <si>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</si>
  <si>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</si>
  <si>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</si>
  <si>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</si>
  <si>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</si>
  <si>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</si>
  <si>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</si>
  <si>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</si>
  <si>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</si>
  <si>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</si>
  <si>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</si>
  <si>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</si>
  <si>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</si>
  <si>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</si>
  <si>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</si>
  <si>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</si>
  <si>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</si>
  <si>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</si>
  <si>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</si>
  <si>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</si>
  <si>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</si>
  <si>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</si>
  <si>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</si>
  <si>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</si>
  <si>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</si>
  <si>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</si>
  <si>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</si>
  <si>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</si>
  <si>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</si>
  <si>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</si>
  <si>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</si>
  <si>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</si>
  <si>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</si>
  <si>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</si>
  <si>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</si>
  <si>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</si>
  <si>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</si>
  <si>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</si>
  <si>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</si>
  <si>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</si>
  <si>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</si>
  <si>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</si>
  <si>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</si>
  <si>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</si>
  <si>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</si>
  <si>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</si>
  <si>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</si>
  <si>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</si>
  <si>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</si>
  <si>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</si>
  <si>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</si>
  <si>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</si>
  <si>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</si>
  <si>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</si>
  <si>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</si>
  <si>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</si>
  <si>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</si>
  <si>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</si>
  <si>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</si>
  <si>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</si>
  <si>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</si>
  <si>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</si>
  <si>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</si>
  <si>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</si>
  <si>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</si>
  <si>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</si>
  <si>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</si>
  <si>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</si>
  <si>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</si>
  <si>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</si>
  <si>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</si>
  <si>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</si>
  <si>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</si>
  <si>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</si>
  <si>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</si>
  <si>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</si>
  <si>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</si>
  <si>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</si>
  <si>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</si>
  <si>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</si>
  <si>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</si>
  <si>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</si>
  <si>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</si>
  <si>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</si>
  <si>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</si>
  <si>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</si>
  <si>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</si>
  <si>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</si>
  <si>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</si>
  <si>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</si>
  <si>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</si>
  <si>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</si>
  <si>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</si>
  <si>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</si>
  <si>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</si>
  <si>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</si>
  <si>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</si>
  <si>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</si>
  <si>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</si>
  <si>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</si>
  <si>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</si>
  <si>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</si>
  <si>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</si>
  <si>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</si>
  <si>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</si>
  <si>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</si>
  <si>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</si>
  <si>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</si>
  <si>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</si>
  <si>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</si>
  <si>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</si>
  <si>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</si>
  <si>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</si>
  <si>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</si>
  <si>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</si>
  <si>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</si>
  <si>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</si>
  <si>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</si>
  <si>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</si>
  <si>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</si>
  <si>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</si>
  <si>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</si>
  <si>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</si>
  <si>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</si>
  <si>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</si>
  <si>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</si>
  <si>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</si>
  <si>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</si>
  <si>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</si>
  <si>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</si>
  <si>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</si>
  <si>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</si>
  <si>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</si>
  <si>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</si>
  <si>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</si>
  <si>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</si>
  <si>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</si>
  <si>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</si>
  <si>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</si>
  <si>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</si>
  <si>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</si>
  <si>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</si>
  <si>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</si>
  <si>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</si>
  <si>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</si>
  <si>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</si>
  <si>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</si>
  <si>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</si>
  <si>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</si>
  <si>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</si>
  <si>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</si>
  <si>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</si>
  <si>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</si>
  <si>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</si>
  <si>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</si>
  <si>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</si>
  <si>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</si>
  <si>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</si>
  <si>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</si>
  <si>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</si>
  <si>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</si>
  <si>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</si>
  <si>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</si>
  <si>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</si>
  <si>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</si>
  <si>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</si>
  <si>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</si>
  <si>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</si>
  <si>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</si>
  <si>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</si>
  <si>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</si>
  <si>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</si>
  <si>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</si>
  <si>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</si>
  <si>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</si>
  <si>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</si>
  <si>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</si>
  <si>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</si>
  <si>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</si>
  <si>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</si>
  <si>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</si>
  <si>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</si>
  <si>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</si>
  <si>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</si>
  <si>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</si>
  <si>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</si>
  <si>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</si>
  <si>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</si>
  <si>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</si>
  <si>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</si>
  <si>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</si>
  <si>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</si>
  <si>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</si>
  <si>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</si>
  <si>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</si>
  <si>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</si>
  <si>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</si>
  <si>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</si>
  <si>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</si>
  <si>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</si>
  <si>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</si>
  <si>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</si>
  <si>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</si>
  <si>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</si>
  <si>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</si>
  <si>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</si>
  <si>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</si>
  <si>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</si>
  <si>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</si>
  <si>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</si>
  <si>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</si>
  <si>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</si>
  <si>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</si>
  <si>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</si>
  <si>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</si>
  <si>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</si>
  <si>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</si>
  <si>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</si>
  <si>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</si>
  <si>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</si>
  <si>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</si>
  <si>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</si>
  <si>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</si>
  <si>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</si>
  <si>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</si>
  <si>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</si>
  <si>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</si>
  <si>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</si>
  <si>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</si>
  <si>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</si>
  <si>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</si>
  <si>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</si>
  <si>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</si>
  <si>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</si>
  <si>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</si>
  <si>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</si>
  <si>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</si>
  <si>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</si>
  <si>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</si>
  <si>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</si>
  <si>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</si>
  <si>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</si>
  <si>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</si>
  <si>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</si>
  <si>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</si>
  <si>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</si>
  <si>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</si>
  <si>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</si>
  <si>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</si>
  <si>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</si>
  <si>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</si>
  <si>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</si>
  <si>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</si>
  <si>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</si>
  <si>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</si>
  <si>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</si>
  <si>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</si>
  <si>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</si>
  <si>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</si>
  <si>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</si>
  <si>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</si>
  <si>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</si>
  <si>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</si>
  <si>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</si>
  <si>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</si>
  <si>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</si>
  <si>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</si>
  <si>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</si>
  <si>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</si>
  <si>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</si>
  <si>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</si>
  <si>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</si>
  <si>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</si>
  <si>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</si>
  <si>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</si>
  <si>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</si>
  <si>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</si>
  <si>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</si>
  <si>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</si>
  <si>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</si>
  <si>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</si>
  <si>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</si>
  <si>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</si>
  <si>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</si>
  <si>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</si>
  <si>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</si>
  <si>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</si>
  <si>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</si>
  <si>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</si>
  <si>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</si>
  <si>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</si>
  <si>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</si>
  <si>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</si>
  <si>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</si>
  <si>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</si>
  <si>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</si>
  <si>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</si>
  <si>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</si>
  <si>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</si>
  <si>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</si>
  <si>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</si>
  <si>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</si>
  <si>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</si>
  <si>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</si>
  <si>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</si>
  <si>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</si>
  <si>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</si>
  <si>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</si>
  <si>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</si>
  <si>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</si>
  <si>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</si>
  <si>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</si>
  <si>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</si>
  <si>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</si>
  <si>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</si>
  <si>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</si>
  <si>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</si>
  <si>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</si>
  <si>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</si>
  <si>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</si>
  <si>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</si>
  <si>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</si>
  <si>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</si>
  <si>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</si>
  <si>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</si>
  <si>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</si>
  <si>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</si>
  <si>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</si>
  <si>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</si>
  <si>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</si>
  <si>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</si>
  <si>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</si>
  <si>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</si>
  <si>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</si>
  <si>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</si>
  <si>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</si>
  <si>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</si>
  <si>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</si>
  <si>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</si>
  <si>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</si>
  <si>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</si>
  <si>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</si>
  <si>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</si>
  <si>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</si>
  <si>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</si>
  <si>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</si>
  <si>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</si>
  <si>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</si>
  <si>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</si>
  <si>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</si>
  <si>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</si>
  <si>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</si>
  <si>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</si>
  <si>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</si>
  <si>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</si>
  <si>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</si>
  <si>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</si>
  <si>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</si>
  <si>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</si>
  <si>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</si>
  <si>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</si>
  <si>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</si>
  <si>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</si>
  <si>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</si>
  <si>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</si>
  <si>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</si>
  <si>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</si>
  <si>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</si>
  <si>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</si>
  <si>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</si>
  <si>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</si>
  <si>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</si>
  <si>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</si>
  <si>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</si>
  <si>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</si>
  <si>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</si>
  <si>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</si>
  <si>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</si>
  <si>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</si>
  <si>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</si>
  <si>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</si>
  <si>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</si>
  <si>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</si>
  <si>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</si>
  <si>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</si>
  <si>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</si>
  <si>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</si>
  <si>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</si>
  <si>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</si>
  <si>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</si>
  <si>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</si>
  <si>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</si>
  <si>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</si>
  <si>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</si>
  <si>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</si>
  <si>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</si>
  <si>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</si>
  <si>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</si>
  <si>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</si>
  <si>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</si>
  <si>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</si>
  <si>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</si>
  <si>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</si>
  <si>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</si>
  <si>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</si>
  <si>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</si>
  <si>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</si>
  <si>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</si>
  <si>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</si>
  <si>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</si>
  <si>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</si>
  <si>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</si>
  <si>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</si>
  <si>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</si>
  <si>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</si>
  <si>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</si>
  <si>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</si>
  <si>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</si>
  <si>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</si>
  <si>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</si>
  <si>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</si>
  <si>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</si>
  <si>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</si>
  <si>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</si>
  <si>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</si>
  <si>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</si>
  <si>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</si>
  <si>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</si>
  <si>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</si>
  <si>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</si>
  <si>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</si>
  <si>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</si>
  <si>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</si>
  <si>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</si>
  <si>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</si>
  <si>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</si>
  <si>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</si>
  <si>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</si>
  <si>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</si>
  <si>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</si>
  <si>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</si>
  <si>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</si>
  <si>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</si>
  <si>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</si>
  <si>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</si>
  <si>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</si>
  <si>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</si>
  <si>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</si>
  <si>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</si>
  <si>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</si>
  <si>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</si>
  <si>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</si>
  <si>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</si>
  <si>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</si>
  <si>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</si>
  <si>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</si>
  <si>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</si>
  <si>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</si>
  <si>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</si>
  <si>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</si>
  <si>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</si>
  <si>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</si>
  <si>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</si>
  <si>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</si>
  <si>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</si>
  <si>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</si>
  <si>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</si>
  <si>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</si>
  <si>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</si>
  <si>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</si>
  <si>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</si>
  <si>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</si>
  <si>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</si>
  <si>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</si>
  <si>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</si>
  <si>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</si>
  <si>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</si>
  <si>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</si>
  <si>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</si>
  <si>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</si>
  <si>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</si>
  <si>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</si>
  <si>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</si>
  <si>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</si>
  <si>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</si>
  <si>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</si>
  <si>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</si>
  <si>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</si>
  <si>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</si>
  <si>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</si>
  <si>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</si>
  <si>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</si>
  <si>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</si>
  <si>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</si>
  <si>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</si>
  <si>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</si>
  <si>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</si>
  <si>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</si>
  <si>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</si>
  <si>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</si>
  <si>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</si>
  <si>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</si>
  <si>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</si>
  <si>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</si>
  <si>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</si>
  <si>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</si>
  <si>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</si>
  <si>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</si>
  <si>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</si>
  <si>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</si>
  <si>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</si>
  <si>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</si>
  <si>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</si>
  <si>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</si>
  <si>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</si>
  <si>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</si>
  <si>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</si>
  <si>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</si>
  <si>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</si>
  <si>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</si>
  <si>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</si>
  <si>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</si>
  <si>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</si>
  <si>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</si>
  <si>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</si>
  <si>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</si>
  <si>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</si>
  <si>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</si>
  <si>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</si>
  <si>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</si>
  <si>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</si>
  <si>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</si>
  <si>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</si>
  <si>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</si>
  <si>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</si>
  <si>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</si>
  <si>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</si>
  <si>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</si>
  <si>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</si>
  <si>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</si>
  <si>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</si>
  <si>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</si>
  <si>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</si>
  <si>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</si>
  <si>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</si>
  <si>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</si>
  <si>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</si>
  <si>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</si>
  <si>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</si>
  <si>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</si>
  <si>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</si>
  <si>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</si>
  <si>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</si>
  <si>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</si>
  <si>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</si>
  <si>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</si>
  <si>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</si>
  <si>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</si>
  <si>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</si>
  <si>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</si>
  <si>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</si>
  <si>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</si>
  <si>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</si>
  <si>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</si>
  <si>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</si>
  <si>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</si>
  <si>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</si>
  <si>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</si>
  <si>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</si>
  <si>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</si>
  <si>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</si>
  <si>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</si>
  <si>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</si>
  <si>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</si>
  <si>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</si>
  <si>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</si>
  <si>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</si>
  <si>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</si>
  <si>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</si>
  <si>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</si>
  <si>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</si>
  <si>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</si>
  <si>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</si>
  <si>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</si>
  <si>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</si>
  <si>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</si>
  <si>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</si>
  <si>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</si>
  <si>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</si>
  <si>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</si>
  <si>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</si>
  <si>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</si>
  <si>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</si>
  <si>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</si>
  <si>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</si>
  <si>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</si>
  <si>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</si>
  <si>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</si>
  <si>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</si>
  <si>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</si>
  <si>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</si>
  <si>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</si>
  <si>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</si>
  <si>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</si>
  <si>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</si>
  <si>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</si>
  <si>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</si>
  <si>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</si>
  <si>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</si>
  <si>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</si>
  <si>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</si>
  <si>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</si>
  <si>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</si>
  <si>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</si>
  <si>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</si>
  <si>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</si>
  <si>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</si>
  <si>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</si>
  <si>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</si>
  <si>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</si>
  <si>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</si>
  <si>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</si>
  <si>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</si>
  <si>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</si>
  <si>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</si>
  <si>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</si>
  <si>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</si>
  <si>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</si>
  <si>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</si>
  <si>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</si>
  <si>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</si>
  <si>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</si>
  <si>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</si>
  <si>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</si>
  <si>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</si>
  <si>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</si>
  <si>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</si>
  <si>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</si>
  <si>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</si>
  <si>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</si>
  <si>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</si>
  <si>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</si>
  <si>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</si>
  <si>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</si>
  <si>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</si>
  <si>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</si>
  <si>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</si>
  <si>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</si>
  <si>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</si>
  <si>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</si>
  <si>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</si>
  <si>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</si>
  <si>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</si>
  <si>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</si>
  <si>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</si>
  <si>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</si>
  <si>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</si>
  <si>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</si>
  <si>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</si>
  <si>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</si>
  <si>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</si>
  <si>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</si>
  <si>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</si>
  <si>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</si>
  <si>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</si>
  <si>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</si>
  <si>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</si>
  <si>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</si>
  <si>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</si>
  <si>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</si>
  <si>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</si>
  <si>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</si>
  <si>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</si>
  <si>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</si>
  <si>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</si>
  <si>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</si>
  <si>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</si>
  <si>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</si>
  <si>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</si>
  <si>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</si>
  <si>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</si>
  <si>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</si>
  <si>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</si>
  <si>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</si>
  <si>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</si>
  <si>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</si>
  <si>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</si>
  <si>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</si>
  <si>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</si>
  <si>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</si>
  <si>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</si>
  <si>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</si>
  <si>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</si>
  <si>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</si>
  <si>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</si>
  <si>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</si>
  <si>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</si>
  <si>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</si>
  <si>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</si>
  <si>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</si>
  <si>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</si>
  <si>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</si>
  <si>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</si>
  <si>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</si>
  <si>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</si>
  <si>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</si>
  <si>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</si>
  <si>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</si>
  <si>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</si>
  <si>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</si>
  <si>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</si>
  <si>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</si>
  <si>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</si>
  <si>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</si>
  <si>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</si>
  <si>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</si>
  <si>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</si>
  <si>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</si>
  <si>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</si>
  <si>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</si>
  <si>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</si>
  <si>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</si>
  <si>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</si>
  <si>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</si>
  <si>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</si>
  <si>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</si>
  <si>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</si>
  <si>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</si>
  <si>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</si>
  <si>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</si>
  <si>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</si>
  <si>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</si>
  <si>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</si>
  <si>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</si>
  <si>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</si>
  <si>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</si>
  <si>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</si>
  <si>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</si>
  <si>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</si>
  <si>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</si>
  <si>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</si>
  <si>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</si>
  <si>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</si>
  <si>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</si>
  <si>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</si>
  <si>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</si>
  <si>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</si>
  <si>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</si>
  <si>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</si>
  <si>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</si>
  <si>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</si>
  <si>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</si>
  <si>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</si>
  <si>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</si>
  <si>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</si>
  <si>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</si>
  <si>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</si>
  <si>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</si>
  <si>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</si>
  <si>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</si>
  <si>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</si>
  <si>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</si>
  <si>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</si>
  <si>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</si>
  <si>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</si>
  <si>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</si>
  <si>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</si>
  <si>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</si>
  <si>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</si>
  <si>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</si>
  <si>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</si>
  <si>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</si>
  <si>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</si>
  <si>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</si>
  <si>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</si>
  <si>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</si>
  <si>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</si>
  <si>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</si>
  <si>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</si>
  <si>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</si>
  <si>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</si>
  <si>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</si>
  <si>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</si>
  <si>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</si>
  <si>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</si>
  <si>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</si>
  <si>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</si>
  <si>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</si>
  <si>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</si>
  <si>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</si>
  <si>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</si>
  <si>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</si>
  <si>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</si>
  <si>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</si>
  <si>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</si>
  <si>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</si>
  <si>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</si>
  <si>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</si>
  <si>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</si>
  <si>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</si>
  <si>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</si>
  <si>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</si>
  <si>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</si>
  <si>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</si>
  <si>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</si>
  <si>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</si>
  <si>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</si>
  <si>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</si>
  <si>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</si>
  <si>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</si>
  <si>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</si>
  <si>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</si>
  <si>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</si>
  <si>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</si>
  <si>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</si>
  <si>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</si>
  <si>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</si>
  <si>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</si>
  <si>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</si>
  <si>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</si>
  <si>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</si>
  <si>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</si>
  <si>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</si>
  <si>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</si>
  <si>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</si>
  <si>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</si>
  <si>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</si>
  <si>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</si>
  <si>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</si>
  <si>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</si>
  <si>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</si>
  <si>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</si>
  <si>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</si>
  <si>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</si>
  <si>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</si>
  <si>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</si>
  <si>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</si>
  <si>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</si>
  <si>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</si>
  <si>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</si>
  <si>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</si>
  <si>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</si>
  <si>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</si>
  <si>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</si>
  <si>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</si>
  <si>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</si>
  <si>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</si>
  <si>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</si>
  <si>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</si>
  <si>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</si>
  <si>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</si>
  <si>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</si>
  <si>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</si>
  <si>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</si>
  <si>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</si>
  <si>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</si>
  <si>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</si>
  <si>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</si>
  <si>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</si>
  <si>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</si>
  <si>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</si>
  <si>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</si>
  <si>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</si>
  <si>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</si>
  <si>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</si>
  <si>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</si>
  <si>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</si>
  <si>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</si>
  <si>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</si>
  <si>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</si>
  <si>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</si>
  <si>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</si>
  <si>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</si>
  <si>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</si>
  <si>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</si>
  <si>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</si>
  <si>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</si>
  <si>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</si>
  <si>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</si>
  <si>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</si>
  <si>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</si>
  <si>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</si>
  <si>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</si>
  <si>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</si>
  <si>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</si>
  <si>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</si>
  <si>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</si>
  <si>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</si>
  <si>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</si>
  <si>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</si>
  <si>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</si>
  <si>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</si>
  <si>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</si>
  <si>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</si>
  <si>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</si>
  <si>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</si>
  <si>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</si>
  <si>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</si>
  <si>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</si>
  <si>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</si>
  <si>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</si>
  <si>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</si>
  <si>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</si>
  <si>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</si>
  <si>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</si>
  <si>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</si>
  <si>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</si>
  <si>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</si>
  <si>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</si>
  <si>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</si>
  <si>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</si>
  <si>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</si>
  <si>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</si>
  <si>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</si>
  <si>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</si>
  <si>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</si>
  <si>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</si>
  <si>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</si>
  <si>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</si>
  <si>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</si>
  <si>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</si>
  <si>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</si>
  <si>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</si>
  <si>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</si>
  <si>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</si>
  <si>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</si>
  <si>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</si>
  <si>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</si>
  <si>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</si>
  <si>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</si>
  <si>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</si>
  <si>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</si>
  <si>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</si>
  <si>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</si>
  <si>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</si>
  <si>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</si>
  <si>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</si>
  <si>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</si>
  <si>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</si>
  <si>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</si>
  <si>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</si>
  <si>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</si>
  <si>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</si>
  <si>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</si>
  <si>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</si>
  <si>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</si>
  <si>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</si>
  <si>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</si>
  <si>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</si>
  <si>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</si>
  <si>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</si>
  <si>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</si>
  <si>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</si>
  <si>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</si>
  <si>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</si>
  <si>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</si>
  <si>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</si>
  <si>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</si>
  <si>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</si>
  <si>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</si>
  <si>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</si>
  <si>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</si>
  <si>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</si>
  <si>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</si>
  <si>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</si>
  <si>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</si>
  <si>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</si>
  <si>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</si>
  <si>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</si>
  <si>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</si>
  <si>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</si>
  <si>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</si>
  <si>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</si>
  <si>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</si>
  <si>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</si>
  <si>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</si>
  <si>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</si>
  <si>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</si>
  <si>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</si>
  <si>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</si>
  <si>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</si>
  <si>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</si>
  <si>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</si>
  <si>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</si>
  <si>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</si>
  <si>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</si>
  <si>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</si>
  <si>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</si>
  <si>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</si>
  <si>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</si>
  <si>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</si>
  <si>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</si>
  <si>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</si>
  <si>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</si>
  <si>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</si>
  <si>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</si>
  <si>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</si>
  <si>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</si>
  <si>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</si>
  <si>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</si>
  <si>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</si>
  <si>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</si>
  <si>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</si>
  <si>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</si>
  <si>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</si>
  <si>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</si>
  <si>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</si>
  <si>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</si>
  <si>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</si>
  <si>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</si>
  <si>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</si>
  <si>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</si>
  <si>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</si>
  <si>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</si>
  <si>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</si>
  <si>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</si>
  <si>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</si>
  <si>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</si>
  <si>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</si>
  <si>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</si>
  <si>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</si>
  <si>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</si>
  <si>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</si>
  <si>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</si>
  <si>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</si>
  <si>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</si>
  <si>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</si>
  <si>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</si>
  <si>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</si>
  <si>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</si>
  <si>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</si>
  <si>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</si>
  <si>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</si>
  <si>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</si>
  <si>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</si>
  <si>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</si>
  <si>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</si>
  <si>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</si>
  <si>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</si>
  <si>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</si>
  <si>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</si>
  <si>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</si>
  <si>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</si>
  <si>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</si>
  <si>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</si>
  <si>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</si>
  <si>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</si>
  <si>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</si>
  <si>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</si>
  <si>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</si>
  <si>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</si>
  <si>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</si>
  <si>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</si>
  <si>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</si>
  <si>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</si>
  <si>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</si>
  <si>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</si>
  <si>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</si>
  <si>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</si>
  <si>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</si>
  <si>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</si>
  <si>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</si>
  <si>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</si>
  <si>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</si>
  <si>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</si>
  <si>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</si>
  <si>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</si>
  <si>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</si>
  <si>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</si>
  <si>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</si>
  <si>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</si>
  <si>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</si>
  <si>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</si>
  <si>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</si>
  <si>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</si>
  <si>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</si>
  <si>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</si>
  <si>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</si>
  <si>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</si>
  <si>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</si>
  <si>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</si>
  <si>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</si>
  <si>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</si>
  <si>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</si>
  <si>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</si>
  <si>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</si>
  <si>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</si>
  <si>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</si>
  <si>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</si>
  <si>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</si>
  <si>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</si>
  <si>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</si>
  <si>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</si>
  <si>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</si>
  <si>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</si>
  <si>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</si>
  <si>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</si>
  <si>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</si>
  <si>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</si>
  <si>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</si>
  <si>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</si>
  <si>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</si>
  <si>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</si>
  <si>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</si>
  <si>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</si>
  <si>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</si>
  <si>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</si>
  <si>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</si>
  <si>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</si>
  <si>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</si>
  <si>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</si>
  <si>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</si>
  <si>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</si>
  <si>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</si>
  <si>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</si>
  <si>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</si>
  <si>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</si>
  <si>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</si>
  <si>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</si>
  <si>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</si>
  <si>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</si>
  <si>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</si>
  <si>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</si>
  <si>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</si>
  <si>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</si>
  <si>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</si>
  <si>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</si>
  <si>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</si>
  <si>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</si>
  <si>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</si>
  <si>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</si>
  <si>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</si>
  <si>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</si>
  <si>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</si>
  <si>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</si>
  <si>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</si>
  <si>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</si>
  <si>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</si>
  <si>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</si>
  <si>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</si>
  <si>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</si>
  <si>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</si>
  <si>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</si>
  <si>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</si>
  <si>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</si>
  <si>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</si>
  <si>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</si>
  <si>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</si>
  <si>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</si>
  <si>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</si>
  <si>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</si>
  <si>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</si>
  <si>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</si>
  <si>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</si>
  <si>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</si>
  <si>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</si>
  <si>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</si>
  <si>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</si>
  <si>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</si>
  <si>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</si>
  <si>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</si>
  <si>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</si>
  <si>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</si>
  <si>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</si>
  <si>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</si>
  <si>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</si>
  <si>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</si>
  <si>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</si>
  <si>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</si>
  <si>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</si>
  <si>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</si>
  <si>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</si>
  <si>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</si>
  <si>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</si>
  <si>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</si>
  <si>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</si>
  <si>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</si>
  <si>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</si>
  <si>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</si>
  <si>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</si>
  <si>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</si>
  <si>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</si>
  <si>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</si>
  <si>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</si>
  <si>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</si>
  <si>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</si>
  <si>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</si>
  <si>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</si>
  <si>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</si>
  <si>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</si>
  <si>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</si>
  <si>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</si>
  <si>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</si>
  <si>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</si>
  <si>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</si>
  <si>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</si>
  <si>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</si>
  <si>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</si>
  <si>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</si>
  <si>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</si>
  <si>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</si>
  <si>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</si>
  <si>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</si>
  <si>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</si>
  <si>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</si>
  <si>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</si>
  <si>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</si>
  <si>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</si>
  <si>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</si>
  <si>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</si>
  <si>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</si>
  <si>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</si>
  <si>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</si>
  <si>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</si>
  <si>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</si>
  <si>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</si>
  <si>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</si>
  <si>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</si>
  <si>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</si>
  <si>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</si>
  <si>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</si>
  <si>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</si>
  <si>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</si>
  <si>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</si>
  <si>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</si>
  <si>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</si>
  <si>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</si>
  <si>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</si>
  <si>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</si>
  <si>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</si>
  <si>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</si>
  <si>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</si>
  <si>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</si>
  <si>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</si>
  <si>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</si>
  <si>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</si>
  <si>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</si>
  <si>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</si>
  <si>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</si>
  <si>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</si>
  <si>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</si>
  <si>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</si>
  <si>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</si>
  <si>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</si>
  <si>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</si>
  <si>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</si>
  <si>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</si>
  <si>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</si>
  <si>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</si>
  <si>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</si>
  <si>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</si>
  <si>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</si>
  <si>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</si>
  <si>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</si>
  <si>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</si>
  <si>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</si>
  <si>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</si>
  <si>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</si>
  <si>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</si>
  <si>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</si>
  <si>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</si>
  <si>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</si>
  <si>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</si>
  <si>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</si>
  <si>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</si>
  <si>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</si>
  <si>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</si>
  <si>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</si>
  <si>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</si>
  <si>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</si>
  <si>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</si>
  <si>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</si>
  <si>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</si>
  <si>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</si>
  <si>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</si>
  <si>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</si>
  <si>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</si>
  <si>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</si>
  <si>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</si>
  <si>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</si>
  <si>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</si>
  <si>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</si>
  <si>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</si>
  <si>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</si>
  <si>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</si>
  <si>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</si>
  <si>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</si>
  <si>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</si>
  <si>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</si>
  <si>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</si>
  <si>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</si>
  <si>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</si>
  <si>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</si>
  <si>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</si>
  <si>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</si>
  <si>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</si>
  <si>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</si>
  <si>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</si>
  <si>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</si>
  <si>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</si>
  <si>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</si>
  <si>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</si>
  <si>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</si>
  <si>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</si>
  <si>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</si>
  <si>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</si>
  <si>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</si>
  <si>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</si>
  <si>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</si>
  <si>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</si>
  <si>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</si>
  <si>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</si>
  <si>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</si>
  <si>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</si>
  <si>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</si>
  <si>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</si>
  <si>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</si>
  <si>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</si>
  <si>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</si>
  <si>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</si>
  <si>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</si>
  <si>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</si>
  <si>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</si>
  <si>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</si>
  <si>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</si>
  <si>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</si>
  <si>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</si>
  <si>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</si>
  <si>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</si>
  <si>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</si>
  <si>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</si>
  <si>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</si>
  <si>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</si>
  <si>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</si>
  <si>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</si>
  <si>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</si>
  <si>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</si>
  <si>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</si>
  <si>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</si>
  <si>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</si>
  <si>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</si>
  <si>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</si>
  <si>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</si>
  <si>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</si>
  <si>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</si>
  <si>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</si>
  <si>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</si>
  <si>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</si>
  <si>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</si>
  <si>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</si>
  <si>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</si>
  <si>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</si>
  <si>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</si>
  <si>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</si>
  <si>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</si>
  <si>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</si>
  <si>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</si>
  <si>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</si>
  <si>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</si>
  <si>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</si>
  <si>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</si>
  <si>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</si>
  <si>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</si>
  <si>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</si>
  <si>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</si>
  <si>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</si>
  <si>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</si>
  <si>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</si>
  <si>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</si>
  <si>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</si>
  <si>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</si>
  <si>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</si>
  <si>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</si>
  <si>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</si>
  <si>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</si>
  <si>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</si>
  <si>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</si>
  <si>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</si>
  <si>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</si>
  <si>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</si>
  <si>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</si>
  <si>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</si>
  <si>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</si>
  <si>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</si>
  <si>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</si>
  <si>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</si>
  <si>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</si>
  <si>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</si>
  <si>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</si>
  <si>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</si>
  <si>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</si>
  <si>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</si>
  <si>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</si>
  <si>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</si>
  <si>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</si>
  <si>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</si>
  <si>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</si>
  <si>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</si>
  <si>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</si>
  <si>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</si>
  <si>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</si>
  <si>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</si>
  <si>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</si>
  <si>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</si>
  <si>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</si>
  <si>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</si>
  <si>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</si>
  <si>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</si>
  <si>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</si>
  <si>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</si>
  <si>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</si>
  <si>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</si>
  <si>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</si>
  <si>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</si>
  <si>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</si>
  <si>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</si>
  <si>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</si>
  <si>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</si>
  <si>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</si>
  <si>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</si>
  <si>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</si>
  <si>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</si>
  <si>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</si>
  <si>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</si>
  <si>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</si>
  <si>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</si>
  <si>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</si>
  <si>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</si>
  <si>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</si>
  <si>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</si>
  <si>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</si>
  <si>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</si>
  <si>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</si>
  <si>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</si>
  <si>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</si>
  <si>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</si>
  <si>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</si>
  <si>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</si>
  <si>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</si>
  <si>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</si>
  <si>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</si>
  <si>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</si>
  <si>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</si>
  <si>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</si>
  <si>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</si>
  <si>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</si>
  <si>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</si>
  <si>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</si>
  <si>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</si>
  <si>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</si>
  <si>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</si>
  <si>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</si>
  <si>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</si>
  <si>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</si>
  <si>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</si>
  <si>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</si>
  <si>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</si>
  <si>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</si>
  <si>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</si>
  <si>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</si>
  <si>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</si>
  <si>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</si>
  <si>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</si>
  <si>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</si>
  <si>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</si>
  <si>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</si>
  <si>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</si>
  <si>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</si>
  <si>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</si>
  <si>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</si>
  <si>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</si>
  <si>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</si>
  <si>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</si>
  <si>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</si>
  <si>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</si>
  <si>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</si>
  <si>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</si>
  <si>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</si>
  <si>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</si>
  <si>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</si>
  <si>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</si>
  <si>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</si>
  <si>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</si>
  <si>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</si>
  <si>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</si>
  <si>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</si>
  <si>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</si>
  <si>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</si>
  <si>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</si>
  <si>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</si>
  <si>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</si>
  <si>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</si>
  <si>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</si>
  <si>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</si>
  <si>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</si>
  <si>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</si>
  <si>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</si>
  <si>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</si>
  <si>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</si>
  <si>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</si>
  <si>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</si>
  <si>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</si>
  <si>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</si>
  <si>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</si>
  <si>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</si>
  <si>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</si>
  <si>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</si>
  <si>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</si>
  <si>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</si>
  <si>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</si>
  <si>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</si>
  <si>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</si>
  <si>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</si>
  <si>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</si>
  <si>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</si>
  <si>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</si>
  <si>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</si>
  <si>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</si>
  <si>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</si>
  <si>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</si>
  <si>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</si>
  <si>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</si>
  <si>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</si>
  <si>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</si>
  <si>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</si>
  <si>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</si>
  <si>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</si>
  <si>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</si>
  <si>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</si>
  <si>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</si>
  <si>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</si>
  <si>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</si>
  <si>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</si>
  <si>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</si>
  <si>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</si>
  <si>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</si>
  <si>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</si>
  <si>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</si>
  <si>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</si>
  <si>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</si>
  <si>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</si>
  <si>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</si>
  <si>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</si>
  <si>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</si>
  <si>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</si>
  <si>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</si>
  <si>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</si>
  <si>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</si>
  <si>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</si>
  <si>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</si>
  <si>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</si>
  <si>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</si>
  <si>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</si>
  <si>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</si>
  <si>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</si>
  <si>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</si>
  <si>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</si>
  <si>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</si>
  <si>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</si>
  <si>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</si>
  <si>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</si>
  <si>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</si>
  <si>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</si>
  <si>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</si>
  <si>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</si>
  <si>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</si>
  <si>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</si>
  <si>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</si>
  <si>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</si>
  <si>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</si>
  <si>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</si>
  <si>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</si>
  <si>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</si>
  <si>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</si>
  <si>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</si>
  <si>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</si>
  <si>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</si>
  <si>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</si>
  <si>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</si>
  <si>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</si>
  <si>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</si>
  <si>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</si>
  <si>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</si>
  <si>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</si>
  <si>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</si>
  <si>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</si>
  <si>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</si>
  <si>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</si>
  <si>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</si>
  <si>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</si>
  <si>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</si>
  <si>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</si>
  <si>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</si>
  <si>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</si>
  <si>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</si>
  <si>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</si>
  <si>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</si>
  <si>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</si>
  <si>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</si>
  <si>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</si>
  <si>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</si>
  <si>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</si>
  <si>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</si>
  <si>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</si>
  <si>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</si>
  <si>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</si>
  <si>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</si>
  <si>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</si>
  <si>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</si>
  <si>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</si>
  <si>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</si>
  <si>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</si>
  <si>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</si>
  <si>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</si>
  <si>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</si>
  <si>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</si>
  <si>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</si>
  <si>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</si>
  <si>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</si>
  <si>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</si>
  <si>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</si>
  <si>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</si>
  <si>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</si>
  <si>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</si>
  <si>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</si>
  <si>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</si>
  <si>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</si>
  <si>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</si>
  <si>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</si>
  <si>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</si>
  <si>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</si>
  <si>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</si>
  <si>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</si>
  <si>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</si>
  <si>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</si>
  <si>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</si>
  <si>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</si>
  <si>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</si>
  <si>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</si>
  <si>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</si>
  <si>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</si>
  <si>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</si>
  <si>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</si>
  <si>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</si>
  <si>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</si>
  <si>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</si>
  <si>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</si>
  <si>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</si>
  <si>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</si>
  <si>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</si>
  <si>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</si>
  <si>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</si>
  <si>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</si>
  <si>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</si>
  <si>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</si>
  <si>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</si>
  <si>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</si>
  <si>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</si>
  <si>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</si>
  <si>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</si>
  <si>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</si>
  <si>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</si>
  <si>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</si>
  <si>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</si>
  <si>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</si>
  <si>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</si>
  <si>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</si>
  <si>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</si>
  <si>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</si>
  <si>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</si>
  <si>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</si>
  <si>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</si>
  <si>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</si>
  <si>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</si>
  <si>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</si>
  <si>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</si>
  <si>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</si>
  <si>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</si>
  <si>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</si>
  <si>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</si>
  <si>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</si>
  <si>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</si>
  <si>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</si>
  <si>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</si>
  <si>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</si>
  <si>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</si>
  <si>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</si>
  <si>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</si>
  <si>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</si>
  <si>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</si>
  <si>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</si>
  <si>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</si>
  <si>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</si>
  <si>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</si>
  <si>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</si>
  <si>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</si>
  <si>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</si>
  <si>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</si>
  <si>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</si>
  <si>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</si>
  <si>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</si>
  <si>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</si>
  <si>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</si>
  <si>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</si>
  <si>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</si>
  <si>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</si>
  <si>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</si>
  <si>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</si>
  <si>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</si>
  <si>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</si>
  <si>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</si>
  <si>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</si>
  <si>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</si>
  <si>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</si>
  <si>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</si>
  <si>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</si>
  <si>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</si>
  <si>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</si>
  <si>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</si>
  <si>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</si>
  <si>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</si>
  <si>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</si>
  <si>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</si>
  <si>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</si>
  <si>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</si>
  <si>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</si>
  <si>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</si>
  <si>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</si>
  <si>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</si>
  <si>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</si>
  <si>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</si>
  <si>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</si>
  <si>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</si>
  <si>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</si>
  <si>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</si>
  <si>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</si>
  <si>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</si>
  <si>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</si>
  <si>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</si>
  <si>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</si>
  <si>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</si>
  <si>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</si>
  <si>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</si>
  <si>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</si>
  <si>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</si>
  <si>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</si>
  <si>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</si>
  <si>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</si>
  <si>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</si>
  <si>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</si>
  <si>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</si>
  <si>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</si>
  <si>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</si>
  <si>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</si>
  <si>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</si>
  <si>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</si>
  <si>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</si>
  <si>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</si>
  <si>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</si>
  <si>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</si>
  <si>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</si>
  <si>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</si>
  <si>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</si>
  <si>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</si>
  <si>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</si>
  <si>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</si>
  <si>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</si>
  <si>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</si>
  <si>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</si>
  <si>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</si>
  <si>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</si>
  <si>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</si>
  <si>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</si>
  <si>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</si>
  <si>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</si>
  <si>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</si>
  <si>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</si>
  <si>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</si>
  <si>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</si>
  <si>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</si>
  <si>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</si>
  <si>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</si>
  <si>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</si>
  <si>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</si>
  <si>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</si>
  <si>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</si>
  <si>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</si>
  <si>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</si>
  <si>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</si>
  <si>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</si>
  <si>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</si>
  <si>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</si>
  <si>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</si>
  <si>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</si>
  <si>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</si>
  <si>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</si>
  <si>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</si>
  <si>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</si>
  <si>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</si>
  <si>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</si>
  <si>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</si>
  <si>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</si>
  <si>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</si>
  <si>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</si>
  <si>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</si>
  <si>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</si>
  <si>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</si>
  <si>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</si>
  <si>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</si>
  <si>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</si>
  <si>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</si>
  <si>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</si>
  <si>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</si>
  <si>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</si>
  <si>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</si>
  <si>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</si>
  <si>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</si>
  <si>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</si>
  <si>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</si>
  <si>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</si>
  <si>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</si>
  <si>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</si>
  <si>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</si>
  <si>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</si>
  <si>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</si>
  <si>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</si>
  <si>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</si>
  <si>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</si>
  <si>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</si>
  <si>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</si>
  <si>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</si>
  <si>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</si>
  <si>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</si>
  <si>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</si>
  <si>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</si>
  <si>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</si>
  <si>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</si>
  <si>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</si>
  <si>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</si>
  <si>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</si>
  <si>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</si>
  <si>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</si>
  <si>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</si>
  <si>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</si>
  <si>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</si>
  <si>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</si>
  <si>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</si>
  <si>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</si>
  <si>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</si>
  <si>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</si>
  <si>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</si>
  <si>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</si>
  <si>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</si>
  <si>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</si>
  <si>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</si>
  <si>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</si>
  <si>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</si>
  <si>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</si>
  <si>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</si>
  <si>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</si>
  <si>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</si>
  <si>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</si>
  <si>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</si>
  <si>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</si>
  <si>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</si>
  <si>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</si>
  <si>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</si>
  <si>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</si>
  <si>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</si>
  <si>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</si>
  <si>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</si>
  <si>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</si>
  <si>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</si>
  <si>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</si>
  <si>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</si>
  <si>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</si>
  <si>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</si>
  <si>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</si>
  <si>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</si>
  <si>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</si>
  <si>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</si>
  <si>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</si>
  <si>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</si>
  <si>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</si>
  <si>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</si>
  <si>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</si>
  <si>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</si>
  <si>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</si>
  <si>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</si>
  <si>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</si>
  <si>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</si>
  <si>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</si>
  <si>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</si>
  <si>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</si>
  <si>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</si>
  <si>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</si>
  <si>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</si>
  <si>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</si>
  <si>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</si>
  <si>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</si>
  <si>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</si>
  <si>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</si>
  <si>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</si>
  <si>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</si>
  <si>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</si>
  <si>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</si>
  <si>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</si>
  <si>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</si>
  <si>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</si>
  <si>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</si>
  <si>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</si>
  <si>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</si>
  <si>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</si>
  <si>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</si>
  <si>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</si>
  <si>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</si>
  <si>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</si>
  <si>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</si>
  <si>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</si>
  <si>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</si>
  <si>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</si>
  <si>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</si>
  <si>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</si>
  <si>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</si>
  <si>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</si>
  <si>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</si>
  <si>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</si>
  <si>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</si>
  <si>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</si>
  <si>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</si>
  <si>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</si>
  <si>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</si>
  <si>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</si>
  <si>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</si>
  <si>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</si>
  <si>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</si>
  <si>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</si>
  <si>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</si>
  <si>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</si>
  <si>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</si>
  <si>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</si>
  <si>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</si>
  <si>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</si>
  <si>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</si>
  <si>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</si>
  <si>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</si>
  <si>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</si>
  <si>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</si>
  <si>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</si>
  <si>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</si>
  <si>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</si>
  <si>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</si>
  <si>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</si>
  <si>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</si>
  <si>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</si>
  <si>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</si>
  <si>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</si>
  <si>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</si>
  <si>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</si>
  <si>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</si>
  <si>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</si>
  <si>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</si>
  <si>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</si>
  <si>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</si>
  <si>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</si>
  <si>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</si>
  <si>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</si>
  <si>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</si>
  <si>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</si>
  <si>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</si>
  <si>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</si>
  <si>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</si>
  <si>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</si>
  <si>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</si>
  <si>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</si>
  <si>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</si>
  <si>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</si>
  <si>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</si>
  <si>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</si>
  <si>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</si>
  <si>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</si>
  <si>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</si>
  <si>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</si>
  <si>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</si>
  <si>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</si>
  <si>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</si>
  <si>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</si>
  <si>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</si>
  <si>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</si>
  <si>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</si>
  <si>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</si>
  <si>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</si>
  <si>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</si>
  <si>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</si>
  <si>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</si>
  <si>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</si>
  <si>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</si>
  <si>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</si>
  <si>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</si>
  <si>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</si>
  <si>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</si>
  <si>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</si>
  <si>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</si>
  <si>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</si>
  <si>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</si>
  <si>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</si>
  <si>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</si>
  <si>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</si>
  <si>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</si>
  <si>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</si>
  <si>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</si>
  <si>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</si>
  <si>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</si>
  <si>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</si>
  <si>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</si>
  <si>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</si>
  <si>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</si>
  <si>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</si>
  <si>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</si>
  <si>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</si>
  <si>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</si>
  <si>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</si>
  <si>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</si>
  <si>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</si>
  <si>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</si>
  <si>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</si>
  <si>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</si>
  <si>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</si>
  <si>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</si>
  <si>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</si>
  <si>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</si>
  <si>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</si>
  <si>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</si>
  <si>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</si>
  <si>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</si>
  <si>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</si>
  <si>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</si>
  <si>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</si>
  <si>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</si>
  <si>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</si>
  <si>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</si>
  <si>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</si>
  <si>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</si>
  <si>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</si>
  <si>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</si>
  <si>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</si>
  <si>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</si>
  <si>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</si>
  <si>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</si>
  <si>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</si>
  <si>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</si>
  <si>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</si>
  <si>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</si>
  <si>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</si>
  <si>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</si>
  <si>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</si>
  <si>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</si>
  <si>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</si>
  <si>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</si>
  <si>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</si>
  <si>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</si>
  <si>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</si>
  <si>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</si>
  <si>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</si>
  <si>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</si>
  <si>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</si>
  <si>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</si>
  <si>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</si>
  <si>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</si>
  <si>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</si>
  <si>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</si>
  <si>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</si>
  <si>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</si>
  <si>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</si>
  <si>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</si>
  <si>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</si>
  <si>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</si>
  <si>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</si>
  <si>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</si>
  <si>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</si>
  <si>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</si>
  <si>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</si>
  <si>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</si>
  <si>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</si>
  <si>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</si>
  <si>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</si>
  <si>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</si>
  <si>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</si>
  <si>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</si>
  <si>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</si>
  <si>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</si>
  <si>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</si>
  <si>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</si>
  <si>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</si>
  <si>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</si>
  <si>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</si>
  <si>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</si>
  <si>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</si>
  <si>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</si>
  <si>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</si>
  <si>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</si>
  <si>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</si>
  <si>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</si>
  <si>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</si>
  <si>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</si>
  <si>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</si>
  <si>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</si>
  <si>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</si>
  <si>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</si>
  <si>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</si>
  <si>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</si>
  <si>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</si>
  <si>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</si>
  <si>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</si>
  <si>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</si>
  <si>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</si>
  <si>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</si>
  <si>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</si>
  <si>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</si>
  <si>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</si>
  <si>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</si>
  <si>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</si>
  <si>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</si>
  <si>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</si>
  <si>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</si>
  <si>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</si>
  <si>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</si>
  <si>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</si>
  <si>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</si>
  <si>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</si>
  <si>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</si>
  <si>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</si>
  <si>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</si>
  <si>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</si>
  <si>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</si>
  <si>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</si>
  <si>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</si>
  <si>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</si>
  <si>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</si>
  <si>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</si>
  <si>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</si>
  <si>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</si>
  <si>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</si>
  <si>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</si>
  <si>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</si>
  <si>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</si>
  <si>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</si>
  <si>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</si>
  <si>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</si>
  <si>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</si>
  <si>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</si>
  <si>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</si>
  <si>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</si>
  <si>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</si>
  <si>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</si>
  <si>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</si>
  <si>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</si>
  <si>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</si>
  <si>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</si>
  <si>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</si>
  <si>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</si>
  <si>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</si>
  <si>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</si>
  <si>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</si>
  <si>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</si>
  <si>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</si>
  <si>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</si>
  <si>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</si>
  <si>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</si>
  <si>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</si>
  <si>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</si>
  <si>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</si>
  <si>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</si>
  <si>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</si>
  <si>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</si>
  <si>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</si>
  <si>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</si>
  <si>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</si>
  <si>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</si>
  <si>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</si>
  <si>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</si>
  <si>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</si>
  <si>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</si>
  <si>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</si>
  <si>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</si>
  <si>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</si>
  <si>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</si>
  <si>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</si>
  <si>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</si>
  <si>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</si>
  <si>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</si>
  <si>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</si>
  <si>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</si>
  <si>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</si>
  <si>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</si>
  <si>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</si>
  <si>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</si>
  <si>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</si>
  <si>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</si>
  <si>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</si>
  <si>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</si>
  <si>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</si>
  <si>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</si>
  <si>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</si>
  <si>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</si>
  <si>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</si>
  <si>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</si>
  <si>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</si>
  <si>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</si>
  <si>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</si>
  <si>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</si>
  <si>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</si>
  <si>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</si>
  <si>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</si>
  <si>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</si>
  <si>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</si>
  <si>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</si>
  <si>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</si>
  <si>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</si>
  <si>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</si>
  <si>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</si>
  <si>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</si>
  <si>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</si>
  <si>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</si>
  <si>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</si>
  <si>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</si>
  <si>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</si>
  <si>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</si>
  <si>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</si>
  <si>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</si>
  <si>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</si>
  <si>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</si>
  <si>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</si>
  <si>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</si>
  <si>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</si>
  <si>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</si>
  <si>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</si>
  <si>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</si>
  <si>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</si>
  <si>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</si>
  <si>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</si>
  <si>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</si>
  <si>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</si>
  <si>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</si>
  <si>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</si>
  <si>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</si>
  <si>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</si>
  <si>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</si>
  <si>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</si>
  <si>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</si>
  <si>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</si>
  <si>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</si>
  <si>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</si>
  <si>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</si>
  <si>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</si>
  <si>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</si>
  <si>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</si>
  <si>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</si>
  <si>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</si>
  <si>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</si>
  <si>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</si>
  <si>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</si>
  <si>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</si>
  <si>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</si>
  <si>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</si>
  <si>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</si>
  <si>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</si>
  <si>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</si>
  <si>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</si>
  <si>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</si>
  <si>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</si>
  <si>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</si>
  <si>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</si>
  <si>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</si>
  <si>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</si>
  <si>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</si>
  <si>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</si>
  <si>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</si>
  <si>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</si>
  <si>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</si>
  <si>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</si>
  <si>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</si>
  <si>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</si>
  <si>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</si>
  <si>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</si>
  <si>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</si>
  <si>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</si>
  <si>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</si>
  <si>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</si>
  <si>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</si>
  <si>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</si>
  <si>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</si>
  <si>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</si>
  <si>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</si>
  <si>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</si>
  <si>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</si>
  <si>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</si>
  <si>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</si>
  <si>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</si>
  <si>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</si>
  <si>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</si>
  <si>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</si>
  <si>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</si>
  <si>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</si>
  <si>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</si>
  <si>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</si>
  <si>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</si>
  <si>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</si>
  <si>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</si>
  <si>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</si>
  <si>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</si>
  <si>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</si>
  <si>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</si>
  <si>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</si>
  <si>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</si>
  <si>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</si>
  <si>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</si>
  <si>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</si>
  <si>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</si>
  <si>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</si>
  <si>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</si>
  <si>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</si>
  <si>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</si>
  <si>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</si>
  <si>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</si>
  <si>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</si>
  <si>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</si>
  <si>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</si>
  <si>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</si>
  <si>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</si>
  <si>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</si>
  <si>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</si>
  <si>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</si>
  <si>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</si>
  <si>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</si>
  <si>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</si>
  <si>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</si>
  <si>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</si>
  <si>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</si>
  <si>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</si>
  <si>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</si>
  <si>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</si>
  <si>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</si>
  <si>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</si>
  <si>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</si>
  <si>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</si>
  <si>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</si>
  <si>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</si>
  <si>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</si>
  <si>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</si>
  <si>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</si>
  <si>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</si>
  <si>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</si>
  <si>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</si>
  <si>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</si>
  <si>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</si>
  <si>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</si>
  <si>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</si>
  <si>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</si>
  <si>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</si>
  <si>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</si>
  <si>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</si>
  <si>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</si>
  <si>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</si>
  <si>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</si>
  <si>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</si>
  <si>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</si>
  <si>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</si>
  <si>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</si>
  <si>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</si>
  <si>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</si>
  <si>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</si>
  <si>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</si>
  <si>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</si>
  <si>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</si>
  <si>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</si>
  <si>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</si>
  <si>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</si>
  <si>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</si>
  <si>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</si>
  <si>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</si>
  <si>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</si>
  <si>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</si>
  <si>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</si>
  <si>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</si>
  <si>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</si>
  <si>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</si>
  <si>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</si>
  <si>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</si>
  <si>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</si>
  <si>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</si>
  <si>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</si>
  <si>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</si>
  <si>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</si>
  <si>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</si>
  <si>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</si>
  <si>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</si>
  <si>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</si>
  <si>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</si>
  <si>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</si>
  <si>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</si>
  <si>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</si>
  <si>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</si>
  <si>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</si>
  <si>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</si>
  <si>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</si>
  <si>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</si>
  <si>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</si>
  <si>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</si>
  <si>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</si>
  <si>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</si>
  <si>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</si>
  <si>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</si>
  <si>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</si>
  <si>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</si>
  <si>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</si>
  <si>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</si>
  <si>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</si>
  <si>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</si>
  <si>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</si>
  <si>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</si>
  <si>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</si>
  <si>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</si>
  <si>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</si>
  <si>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</si>
  <si>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</si>
  <si>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</si>
  <si>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</si>
  <si>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</si>
  <si>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</si>
  <si>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</si>
  <si>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</si>
  <si>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</si>
  <si>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</si>
  <si>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</si>
  <si>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</si>
  <si>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</si>
  <si>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</si>
  <si>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</si>
  <si>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</si>
  <si>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</si>
  <si>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</si>
  <si>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</si>
  <si>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</si>
  <si>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</si>
  <si>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</si>
  <si>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</si>
  <si>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</si>
  <si>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</si>
  <si>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</si>
  <si>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</si>
  <si>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</si>
  <si>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</si>
  <si>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</si>
  <si>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</si>
  <si>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</si>
  <si>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</si>
  <si>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</si>
  <si>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</si>
  <si>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</si>
  <si>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</si>
  <si>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</si>
  <si>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</si>
  <si>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</si>
  <si>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</si>
  <si>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</si>
  <si>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</si>
  <si>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</si>
  <si>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</si>
  <si>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</si>
  <si>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</si>
  <si>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</si>
  <si>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</si>
  <si>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</si>
  <si>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</si>
  <si>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</si>
  <si>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</si>
  <si>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</si>
  <si>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</si>
  <si>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</si>
  <si>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</si>
  <si>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</si>
  <si>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</si>
  <si>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</si>
  <si>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</si>
  <si>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</si>
  <si>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</si>
  <si>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</si>
  <si>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</si>
  <si>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</si>
  <si>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</si>
  <si>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</si>
  <si>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</si>
  <si>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</si>
  <si>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</si>
  <si>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</si>
  <si>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</si>
  <si>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</si>
  <si>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</si>
  <si>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</si>
  <si>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</si>
  <si>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</si>
  <si>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</si>
  <si>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</si>
  <si>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</si>
  <si>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</si>
  <si>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</si>
  <si>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</si>
  <si>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</si>
  <si>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</si>
  <si>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</si>
  <si>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</si>
  <si>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</si>
  <si>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</si>
  <si>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</si>
  <si>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</si>
  <si>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</si>
  <si>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</si>
  <si>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</si>
  <si>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</si>
  <si>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</si>
  <si>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</si>
  <si>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</si>
  <si>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</si>
  <si>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</si>
  <si>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</si>
  <si>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</si>
  <si>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</si>
  <si>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</si>
  <si>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</si>
  <si>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</si>
  <si>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</si>
  <si>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</si>
  <si>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</si>
  <si>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</si>
  <si>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</si>
  <si>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</si>
  <si>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</si>
  <si>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</si>
  <si>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</si>
  <si>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</si>
  <si>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</si>
  <si>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</si>
  <si>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</si>
  <si>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</si>
  <si>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</si>
  <si>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</si>
  <si>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</si>
  <si>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</si>
  <si>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</si>
  <si>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</si>
  <si>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</si>
  <si>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</si>
  <si>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</si>
  <si>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</si>
  <si>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</si>
  <si>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</si>
  <si>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</si>
  <si>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</si>
  <si>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</si>
  <si>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</si>
  <si>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</si>
  <si>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</si>
  <si>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</si>
  <si>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</si>
  <si>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</si>
  <si>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</si>
  <si>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</si>
  <si>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</si>
  <si>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</si>
  <si>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</si>
  <si>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</si>
  <si>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</si>
  <si>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</si>
  <si>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</si>
  <si>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</si>
  <si>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</si>
  <si>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</si>
  <si>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</si>
  <si>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</si>
  <si>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</si>
  <si>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</si>
  <si>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</si>
  <si>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</si>
  <si>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</si>
  <si>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</si>
  <si>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</si>
  <si>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</si>
  <si>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</si>
  <si>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</si>
  <si>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</si>
  <si>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</si>
  <si>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</si>
  <si>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</si>
  <si>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</si>
  <si>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</si>
  <si>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</si>
  <si>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</si>
  <si>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</si>
  <si>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</si>
  <si>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</si>
  <si>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</si>
  <si>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</si>
  <si>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</si>
  <si>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</si>
  <si>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</si>
  <si>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</si>
  <si>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</si>
  <si>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</si>
  <si>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</si>
  <si>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</si>
  <si>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</si>
  <si>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</si>
  <si>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</si>
  <si>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</si>
  <si>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</si>
  <si>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</si>
  <si>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</si>
  <si>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</si>
  <si>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</si>
  <si>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</si>
  <si>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</si>
  <si>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</si>
  <si>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</si>
  <si>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</si>
  <si>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</si>
  <si>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</si>
  <si>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</si>
  <si>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</si>
  <si>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</si>
  <si>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</si>
  <si>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</si>
  <si>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</si>
  <si>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</si>
  <si>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</si>
  <si>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</si>
  <si>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</si>
  <si>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</si>
  <si>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</si>
  <si>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</si>
  <si>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</si>
  <si>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</si>
  <si>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</si>
  <si>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</si>
  <si>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</si>
  <si>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</si>
  <si>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</si>
  <si>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</si>
  <si>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</si>
  <si>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</si>
  <si>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</si>
  <si>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</si>
  <si>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</si>
  <si>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</si>
  <si>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</si>
  <si>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</si>
  <si>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</si>
  <si>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</si>
  <si>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</si>
  <si>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</si>
  <si>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</si>
  <si>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</si>
  <si>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</si>
  <si>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</si>
  <si>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</si>
  <si>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</si>
  <si>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</si>
  <si>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</si>
  <si>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</si>
  <si>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</si>
  <si>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</si>
  <si>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</si>
  <si>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</si>
  <si>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</si>
  <si>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</si>
  <si>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</si>
  <si>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</si>
  <si>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</si>
  <si>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</si>
  <si>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</si>
  <si>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</si>
  <si>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</si>
  <si>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</si>
  <si>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</si>
  <si>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</si>
  <si>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</si>
  <si>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</si>
  <si>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</si>
  <si>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</si>
  <si>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</si>
  <si>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</si>
  <si>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</si>
  <si>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</si>
  <si>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</si>
  <si>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</si>
  <si>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</si>
  <si>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</si>
  <si>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</si>
  <si>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</si>
  <si>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</si>
  <si>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</si>
  <si>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</si>
  <si>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</si>
  <si>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</si>
  <si>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</si>
  <si>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</si>
  <si>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</si>
  <si>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</si>
  <si>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</si>
  <si>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</si>
  <si>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</si>
  <si>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</si>
  <si>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</si>
  <si>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</si>
  <si>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</si>
  <si>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</si>
  <si>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</si>
  <si>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</si>
  <si>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</si>
  <si>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</si>
  <si>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</si>
  <si>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</si>
  <si>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</si>
  <si>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</si>
  <si>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</si>
  <si>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</si>
  <si>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</si>
  <si>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</si>
  <si>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</si>
  <si>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</si>
  <si>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</si>
  <si>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</si>
  <si>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</si>
  <si>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</si>
  <si>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</si>
  <si>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</si>
  <si>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</si>
  <si>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</si>
  <si>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</si>
  <si>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</si>
  <si>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</si>
  <si>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</si>
  <si>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</si>
  <si>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</si>
  <si>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</si>
  <si>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</si>
  <si>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</si>
  <si>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</si>
  <si>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</si>
  <si>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</si>
  <si>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</si>
  <si>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</si>
  <si>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</si>
  <si>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</si>
  <si>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</si>
  <si>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</si>
  <si>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</si>
  <si>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</si>
  <si>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</si>
  <si>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</si>
  <si>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</si>
  <si>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</si>
  <si>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</si>
  <si>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</si>
  <si>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</si>
  <si>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</si>
  <si>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</si>
  <si>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</si>
  <si>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</si>
  <si>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</si>
  <si>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</si>
  <si>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</si>
  <si>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</si>
  <si>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</si>
  <si>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</si>
  <si>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</si>
  <si>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</si>
  <si>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</si>
  <si>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</si>
  <si>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</si>
  <si>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</si>
  <si>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</si>
  <si>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</si>
  <si>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</si>
  <si>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</si>
  <si>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</si>
  <si>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</si>
  <si>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</si>
  <si>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</si>
  <si>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</si>
  <si>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</si>
  <si>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</si>
  <si>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</si>
  <si>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</si>
  <si>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</si>
  <si>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</si>
  <si>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</si>
  <si>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</si>
  <si>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</si>
  <si>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</si>
  <si>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</si>
  <si>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</si>
  <si>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</si>
  <si>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</si>
  <si>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</si>
  <si>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</si>
  <si>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</si>
  <si>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</si>
  <si>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</si>
  <si>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</si>
  <si>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</si>
  <si>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</si>
  <si>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</si>
  <si>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</si>
  <si>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</si>
  <si>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</si>
  <si>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</si>
  <si>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</si>
  <si>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</si>
  <si>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</si>
  <si>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</si>
  <si>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</si>
  <si>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</si>
  <si>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</si>
  <si>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</si>
  <si>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</si>
  <si>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</si>
  <si>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</si>
  <si>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</si>
  <si>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</si>
  <si>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</si>
  <si>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</si>
  <si>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</si>
  <si>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</si>
  <si>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</si>
  <si>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</si>
  <si>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</si>
  <si>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</si>
  <si>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</si>
  <si>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</si>
  <si>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</si>
  <si>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</si>
  <si>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</si>
  <si>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</si>
  <si>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</si>
  <si>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</si>
  <si>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</si>
  <si>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</si>
  <si>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</si>
  <si>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</si>
  <si>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</si>
  <si>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</si>
  <si>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</si>
  <si>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</si>
  <si>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</si>
  <si>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</si>
  <si>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</si>
  <si>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</si>
  <si>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</si>
  <si>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</si>
  <si>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</si>
  <si>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</si>
  <si>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</si>
  <si>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</si>
  <si>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</si>
  <si>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</si>
  <si>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</si>
  <si>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</si>
  <si>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</si>
  <si>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</si>
  <si>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</si>
  <si>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</si>
  <si>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</si>
  <si>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</si>
  <si>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</si>
  <si>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</si>
  <si>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</si>
  <si>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</si>
  <si>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</si>
  <si>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</si>
  <si>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</si>
  <si>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</si>
  <si>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</si>
  <si>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</si>
  <si>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</si>
  <si>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</si>
  <si>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</si>
  <si>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</si>
  <si>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</si>
  <si>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</si>
  <si>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</si>
  <si>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</si>
  <si>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</si>
  <si>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</si>
  <si>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</si>
  <si>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</si>
  <si>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</si>
  <si>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</si>
  <si>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</si>
  <si>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</si>
  <si>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</si>
  <si>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</si>
  <si>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</si>
  <si>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</si>
  <si>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</si>
  <si>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</si>
  <si>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</si>
  <si>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</si>
  <si>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</si>
  <si>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</si>
  <si>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</si>
  <si>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</si>
  <si>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</si>
  <si>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</si>
  <si>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</si>
  <si>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</si>
  <si>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</si>
  <si>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</si>
  <si>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</si>
  <si>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</si>
  <si>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</si>
  <si>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</si>
  <si>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</si>
  <si>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</si>
  <si>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</si>
  <si>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</si>
  <si>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</si>
  <si>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</si>
  <si>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</si>
  <si>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</si>
  <si>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</si>
  <si>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</si>
  <si>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</si>
  <si>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</si>
  <si>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</si>
  <si>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</si>
  <si>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</si>
  <si>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</si>
  <si>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</si>
  <si>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</si>
  <si>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</si>
  <si>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</si>
  <si>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</si>
  <si>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</si>
  <si>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</si>
  <si>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</si>
  <si>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</si>
  <si>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</si>
  <si>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</si>
  <si>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</si>
  <si>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</si>
  <si>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</si>
  <si>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</si>
  <si>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</si>
  <si>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</si>
  <si>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</si>
  <si>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</si>
  <si>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</si>
  <si>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</si>
  <si>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</si>
  <si>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</si>
  <si>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</si>
  <si>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</si>
  <si>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</si>
  <si>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</si>
  <si>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</si>
  <si>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</si>
  <si>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</si>
  <si>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</si>
  <si>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</si>
  <si>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</si>
  <si>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</si>
  <si>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</si>
  <si>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</si>
  <si>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</si>
  <si>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</si>
  <si>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</si>
  <si>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</si>
  <si>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</si>
  <si>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</si>
  <si>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</si>
  <si>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</si>
  <si>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</si>
  <si>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</si>
  <si>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</si>
  <si>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</si>
  <si>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</si>
  <si>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</si>
  <si>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</si>
  <si>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</si>
  <si>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</si>
  <si>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</si>
  <si>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</si>
  <si>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</si>
  <si>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</si>
  <si>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</si>
  <si>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</si>
  <si>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</si>
  <si>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</si>
  <si>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</si>
  <si>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</si>
  <si>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</si>
  <si>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</si>
  <si>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</si>
  <si>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</si>
  <si>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</si>
  <si>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</si>
  <si>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</si>
  <si>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</si>
  <si>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</si>
  <si>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</si>
  <si>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</si>
  <si>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</si>
  <si>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</si>
  <si>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</si>
  <si>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</si>
  <si>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</si>
  <si>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</si>
  <si>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</si>
  <si>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</si>
  <si>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</si>
  <si>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</si>
  <si>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</si>
  <si>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</si>
  <si>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</si>
  <si>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</si>
  <si>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</si>
  <si>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</si>
  <si>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</si>
  <si>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</si>
  <si>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</si>
  <si>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</si>
  <si>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</si>
  <si>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</si>
  <si>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</si>
  <si>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</si>
  <si>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</si>
  <si>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</si>
  <si>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</si>
  <si>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</si>
  <si>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</si>
  <si>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</si>
  <si>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</si>
  <si>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</si>
  <si>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</si>
  <si>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</si>
  <si>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</si>
  <si>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</si>
  <si>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</si>
  <si>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</si>
  <si>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</si>
  <si>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</si>
  <si>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</si>
  <si>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</si>
  <si>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</si>
  <si>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</si>
  <si>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</si>
  <si>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</si>
  <si>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</si>
  <si>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</si>
  <si>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</si>
  <si>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</si>
  <si>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</si>
  <si>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</si>
  <si>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</si>
  <si>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</si>
  <si>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</si>
  <si>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</si>
  <si>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</si>
  <si>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</si>
  <si>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</si>
  <si>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</si>
  <si>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</si>
  <si>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</si>
  <si>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</si>
  <si>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</si>
  <si>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</si>
  <si>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</si>
  <si>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</si>
  <si>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</si>
  <si>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</si>
  <si>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</si>
  <si>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</si>
  <si>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</si>
  <si>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</si>
  <si>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</si>
  <si>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</si>
  <si>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</si>
  <si>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</si>
  <si>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</si>
  <si>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</si>
  <si>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</si>
  <si>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</si>
  <si>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</si>
  <si>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</si>
  <si>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</si>
  <si>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</si>
  <si>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</si>
  <si>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</si>
  <si>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</si>
  <si>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</si>
  <si>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</si>
  <si>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</si>
  <si>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</si>
  <si>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</si>
  <si>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</si>
  <si>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</si>
  <si>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</si>
  <si>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</si>
  <si>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</si>
  <si>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</si>
  <si>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</si>
  <si>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</si>
  <si>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</si>
  <si>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</si>
  <si>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</si>
  <si>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</si>
  <si>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</si>
  <si>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</si>
  <si>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</si>
  <si>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</si>
  <si>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</si>
  <si>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</si>
  <si>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</si>
  <si>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</si>
  <si>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</si>
  <si>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</si>
  <si>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</si>
  <si>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</si>
  <si>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</si>
  <si>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</si>
  <si>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</si>
  <si>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</si>
  <si>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</si>
  <si>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</si>
  <si>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</si>
  <si>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</si>
  <si>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</si>
  <si>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</si>
  <si>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</si>
  <si>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</si>
  <si>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</si>
  <si>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</si>
  <si>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</si>
  <si>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</si>
  <si>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</si>
  <si>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</si>
  <si>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</si>
  <si>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</si>
  <si>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</si>
  <si>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</si>
  <si>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</si>
  <si>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</si>
  <si>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</si>
  <si>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</si>
  <si>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</si>
  <si>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</si>
  <si>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</si>
  <si>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</si>
  <si>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</si>
  <si>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</si>
  <si>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</si>
  <si>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</si>
  <si>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</si>
  <si>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</si>
  <si>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</si>
  <si>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</si>
  <si>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</si>
  <si>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</si>
  <si>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</si>
  <si>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</si>
  <si>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</si>
  <si>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</si>
  <si>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</si>
  <si>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</si>
  <si>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</si>
  <si>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</si>
  <si>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</si>
  <si>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</si>
  <si>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</si>
  <si>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</si>
  <si>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</si>
  <si>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</si>
  <si>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</si>
  <si>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</si>
  <si>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</si>
  <si>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</si>
  <si>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</si>
  <si>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</si>
  <si>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</si>
  <si>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</si>
  <si>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</si>
  <si>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</si>
  <si>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</si>
  <si>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</si>
  <si>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</si>
  <si>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</si>
  <si>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</si>
  <si>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</si>
  <si>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</si>
  <si>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</si>
  <si>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</si>
  <si>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</si>
  <si>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</si>
  <si>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</si>
  <si>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</si>
  <si>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</si>
  <si>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</si>
  <si>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</si>
  <si>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</si>
  <si>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</si>
  <si>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</si>
  <si>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</si>
  <si>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</si>
  <si>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</si>
  <si>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</si>
  <si>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</si>
  <si>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</si>
  <si>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</si>
  <si>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</si>
  <si>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</si>
  <si>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</si>
  <si>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</si>
  <si>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</si>
  <si>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</si>
  <si>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</si>
  <si>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</si>
  <si>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</si>
  <si>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</si>
  <si>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</si>
  <si>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</si>
  <si>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</si>
  <si>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</si>
  <si>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</si>
  <si>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</si>
  <si>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</si>
  <si>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</si>
  <si>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</si>
  <si>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</si>
  <si>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</si>
  <si>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</si>
  <si>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</si>
  <si>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</si>
  <si>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</si>
  <si>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</si>
  <si>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</si>
  <si>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</si>
  <si>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</si>
  <si>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</si>
  <si>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</si>
  <si>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</si>
  <si>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</si>
  <si>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</si>
  <si>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</si>
  <si>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</si>
  <si>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</si>
  <si>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</si>
  <si>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</si>
  <si>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</si>
  <si>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</si>
  <si>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</si>
  <si>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</si>
  <si>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</si>
  <si>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</si>
  <si>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</si>
  <si>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</si>
  <si>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</si>
  <si>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</si>
  <si>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</si>
  <si>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</si>
  <si>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</si>
  <si>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</si>
  <si>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</si>
  <si>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</si>
  <si>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</si>
  <si>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</si>
  <si>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</si>
  <si>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</si>
  <si>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</si>
  <si>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</si>
  <si>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</si>
  <si>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</si>
  <si>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</si>
  <si>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</si>
  <si>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</si>
  <si>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</si>
  <si>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</si>
  <si>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</si>
  <si>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</si>
  <si>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</si>
  <si>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</si>
  <si>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</si>
  <si>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</si>
  <si>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</si>
  <si>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</si>
  <si>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</si>
  <si>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</si>
  <si>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</si>
  <si>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</si>
  <si>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</si>
  <si>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</si>
  <si>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</si>
  <si>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</si>
  <si>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</si>
  <si>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</si>
  <si>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</si>
  <si>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</si>
  <si>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</si>
  <si>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</si>
  <si>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</si>
  <si>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</si>
  <si>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</si>
  <si>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</si>
  <si>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</si>
  <si>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</si>
  <si>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</si>
  <si>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</si>
  <si>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</si>
  <si>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</si>
  <si>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</si>
  <si>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</si>
  <si>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</si>
  <si>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</si>
  <si>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</si>
  <si>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</si>
  <si>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</si>
  <si>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</si>
  <si>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</si>
  <si>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</si>
  <si>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</si>
  <si>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</si>
  <si>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</si>
  <si>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</si>
  <si>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</si>
  <si>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</si>
  <si>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</si>
  <si>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</si>
  <si>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</si>
  <si>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</si>
  <si>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</si>
  <si>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</si>
  <si>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</si>
  <si>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</si>
  <si>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</si>
  <si>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</si>
  <si>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</si>
  <si>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</si>
  <si>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</si>
  <si>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</si>
  <si>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</si>
  <si>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</si>
  <si>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</si>
  <si>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</si>
  <si>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</si>
  <si>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</si>
  <si>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</si>
  <si>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</si>
  <si>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</si>
  <si>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</si>
  <si>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</si>
  <si>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</si>
  <si>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</si>
  <si>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</si>
  <si>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</si>
  <si>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</si>
  <si>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</si>
  <si>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</si>
  <si>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</si>
  <si>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</si>
  <si>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</si>
  <si>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</si>
  <si>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</si>
  <si>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</si>
  <si>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</si>
  <si>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</si>
  <si>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</si>
  <si>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</si>
  <si>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</si>
  <si>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</si>
  <si>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</si>
  <si>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</si>
  <si>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</si>
  <si>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</si>
  <si>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</si>
  <si>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</si>
  <si>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</si>
  <si>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</si>
  <si>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</si>
  <si>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</si>
  <si>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</si>
  <si>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</si>
  <si>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</si>
  <si>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</si>
  <si>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</si>
  <si>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</si>
  <si>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</si>
  <si>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</si>
  <si>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</si>
  <si>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</si>
  <si>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</si>
  <si>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</si>
  <si>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</si>
  <si>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</si>
  <si>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</si>
  <si>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</si>
  <si>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</si>
  <si>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</si>
  <si>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</si>
  <si>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</si>
  <si>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</si>
  <si>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</si>
  <si>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</si>
  <si>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</si>
  <si>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</si>
  <si>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</si>
  <si>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</si>
  <si>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</si>
  <si>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</si>
  <si>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</si>
  <si>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</si>
  <si>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</si>
  <si>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</si>
  <si>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</si>
  <si>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</si>
  <si>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</si>
  <si>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</si>
  <si>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</si>
  <si>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</si>
  <si>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</si>
  <si>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</si>
  <si>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</si>
  <si>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</si>
  <si>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</si>
  <si>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</si>
  <si>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</si>
  <si>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</si>
  <si>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</si>
  <si>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</si>
  <si>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</si>
  <si>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</si>
  <si>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</si>
  <si>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</si>
  <si>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</si>
  <si>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</si>
  <si>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</si>
  <si>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</si>
  <si>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</si>
  <si>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</si>
  <si>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</si>
  <si>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</si>
  <si>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</si>
  <si>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</si>
  <si>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</si>
  <si>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</si>
  <si>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</si>
  <si>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</si>
  <si>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</si>
  <si>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</si>
  <si>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</si>
  <si>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</si>
  <si>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</si>
  <si>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</si>
  <si>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</si>
  <si>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</si>
  <si>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</si>
  <si>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</si>
  <si>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</si>
  <si>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</si>
  <si>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</si>
  <si>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</si>
  <si>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</si>
  <si>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</si>
  <si>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</si>
  <si>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</si>
  <si>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</si>
  <si>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</si>
  <si>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</si>
  <si>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</si>
  <si>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</si>
  <si>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</si>
  <si>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</si>
  <si>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</si>
  <si>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</si>
  <si>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</si>
  <si>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</si>
  <si>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</si>
  <si>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</si>
  <si>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</si>
  <si>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</si>
  <si>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</si>
  <si>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</si>
  <si>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</si>
  <si>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</si>
  <si>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</si>
  <si>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</si>
  <si>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</si>
  <si>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</si>
  <si>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</si>
  <si>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</si>
  <si>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</si>
  <si>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</si>
  <si>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</si>
  <si>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</si>
  <si>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</si>
  <si>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</si>
  <si>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</si>
  <si>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</si>
  <si>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</si>
  <si>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</si>
  <si>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</si>
  <si>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</si>
  <si>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</si>
  <si>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</si>
  <si>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</si>
  <si>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</si>
  <si>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</si>
  <si>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</si>
  <si>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</si>
  <si>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</si>
  <si>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</si>
  <si>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</si>
  <si>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</si>
  <si>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</si>
  <si>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</si>
  <si>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</si>
  <si>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</si>
  <si>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</si>
  <si>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</si>
  <si>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</si>
  <si>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</si>
  <si>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</si>
  <si>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</si>
  <si>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</si>
  <si>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</si>
  <si>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</si>
  <si>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</si>
  <si>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</si>
  <si>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</si>
  <si>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</si>
  <si>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</si>
  <si>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</si>
  <si>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</si>
  <si>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</si>
  <si>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</si>
  <si>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</si>
  <si>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</si>
  <si>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</si>
  <si>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</si>
  <si>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</si>
  <si>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</si>
  <si>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</si>
  <si>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</si>
  <si>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</si>
  <si>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</si>
  <si>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</si>
  <si>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</si>
  <si>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</si>
  <si>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</si>
  <si>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</si>
  <si>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</si>
  <si>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</si>
  <si>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</si>
  <si>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</si>
  <si>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</si>
  <si>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</si>
  <si>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</si>
  <si>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</si>
  <si>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</si>
  <si>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</si>
  <si>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</si>
  <si>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</si>
  <si>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</si>
  <si>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</si>
  <si>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</si>
  <si>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</si>
  <si>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</si>
  <si>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</si>
  <si>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</si>
  <si>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</si>
  <si>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</si>
  <si>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</si>
  <si>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</si>
  <si>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</si>
  <si>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</si>
  <si>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</si>
  <si>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</si>
  <si>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</si>
  <si>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</si>
  <si>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</si>
  <si>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</si>
  <si>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</si>
  <si>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</si>
  <si>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</si>
  <si>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</si>
  <si>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</si>
  <si>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</si>
  <si>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</si>
  <si>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</si>
  <si>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</si>
  <si>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</si>
  <si>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</si>
  <si>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</si>
  <si>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</si>
  <si>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</si>
  <si>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</si>
  <si>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</si>
  <si>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</si>
  <si>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</si>
  <si>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</si>
  <si>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</si>
  <si>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</si>
  <si>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</si>
  <si>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</si>
  <si>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</si>
  <si>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</si>
  <si>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</si>
  <si>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</si>
  <si>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</si>
  <si>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</si>
  <si>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</si>
  <si>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</si>
  <si>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</si>
  <si>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</si>
  <si>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</si>
  <si>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</si>
  <si>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</si>
  <si>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</si>
  <si>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</si>
  <si>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</si>
  <si>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</si>
  <si>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</si>
  <si>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</si>
  <si>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</si>
  <si>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</si>
  <si>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</si>
  <si>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</si>
  <si>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</si>
  <si>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</si>
  <si>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</si>
  <si>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</si>
  <si>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</si>
  <si>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</si>
  <si>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</si>
  <si>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</si>
  <si>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</si>
  <si>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</si>
  <si>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</si>
  <si>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</si>
  <si>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</si>
  <si>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</si>
  <si>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</si>
  <si>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</si>
  <si>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</si>
  <si>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</si>
  <si>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</si>
  <si>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</si>
  <si>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</si>
  <si>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</si>
  <si>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</si>
  <si>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</si>
  <si>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</si>
  <si>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</si>
  <si>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</si>
  <si>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</si>
  <si>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</si>
  <si>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</si>
  <si>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</si>
  <si>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</si>
  <si>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</si>
  <si>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</si>
  <si>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</si>
  <si>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</si>
  <si>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</si>
  <si>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</si>
  <si>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</si>
  <si>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</si>
  <si>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</si>
  <si>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</si>
  <si>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</si>
  <si>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</si>
  <si>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</si>
  <si>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</si>
  <si>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</si>
  <si>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</si>
  <si>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</si>
  <si>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</si>
  <si>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</si>
  <si>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</si>
  <si>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</si>
  <si>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</si>
  <si>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</si>
  <si>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</si>
  <si>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</si>
  <si>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</si>
  <si>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</si>
  <si>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</si>
  <si>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</si>
  <si>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</si>
  <si>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</si>
  <si>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</si>
  <si>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</si>
  <si>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</si>
  <si>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</si>
  <si>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</si>
  <si>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</si>
  <si>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</si>
  <si>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</si>
  <si>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</si>
  <si>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</si>
  <si>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</si>
  <si>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</si>
  <si>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</si>
  <si>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</si>
  <si>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</si>
  <si>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</si>
  <si>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</si>
  <si>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</si>
  <si>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</si>
  <si>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</si>
  <si>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</si>
  <si>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</si>
  <si>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</si>
  <si>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</si>
  <si>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</si>
  <si>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</si>
  <si>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</si>
  <si>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</si>
  <si>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</si>
  <si>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</si>
  <si>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</si>
  <si>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</si>
  <si>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</si>
  <si>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</si>
  <si>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</si>
  <si>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</si>
  <si>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</si>
  <si>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</si>
  <si>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</si>
  <si>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</si>
  <si>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</si>
  <si>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</si>
  <si>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</si>
  <si>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</si>
  <si>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</si>
  <si>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</si>
  <si>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</si>
  <si>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</si>
  <si>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</si>
  <si>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</si>
  <si>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</si>
  <si>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</si>
  <si>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</si>
  <si>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</si>
  <si>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</si>
  <si>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</si>
  <si>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</si>
  <si>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</si>
  <si>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</si>
  <si>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</si>
  <si>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</si>
  <si>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</si>
  <si>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</si>
  <si>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</si>
  <si>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</si>
  <si>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</si>
  <si>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</si>
  <si>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</si>
  <si>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</si>
  <si>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</si>
  <si>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</si>
  <si>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</si>
  <si>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</si>
  <si>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</si>
  <si>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</si>
  <si>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</si>
  <si>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</si>
  <si>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</si>
  <si>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</si>
  <si>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</si>
  <si>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</si>
  <si>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</si>
  <si>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</si>
  <si>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</si>
  <si>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</si>
  <si>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</si>
  <si>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</si>
  <si>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</si>
  <si>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</si>
  <si>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</si>
  <si>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</si>
  <si>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</si>
  <si>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</si>
  <si>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</si>
  <si>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</si>
  <si>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</si>
  <si>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</si>
  <si>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</si>
  <si>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</si>
  <si>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</si>
  <si>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</si>
  <si>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</si>
  <si>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</si>
  <si>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</si>
  <si>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</si>
  <si>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</si>
  <si>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</si>
  <si>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</si>
  <si>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</si>
  <si>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</si>
  <si>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</si>
  <si>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</si>
  <si>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</si>
  <si>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</si>
  <si>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</si>
  <si>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</si>
  <si>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</si>
  <si>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</si>
  <si>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</si>
  <si>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</si>
  <si>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</si>
  <si>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</si>
  <si>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</si>
  <si>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</si>
  <si>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</si>
  <si>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</si>
  <si>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</si>
  <si>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</si>
  <si>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</si>
  <si>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</si>
  <si>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</si>
  <si>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</si>
  <si>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</si>
  <si>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</si>
  <si>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</si>
  <si>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</si>
  <si>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</si>
  <si>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</si>
  <si>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</si>
  <si>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</si>
  <si>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</si>
  <si>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</si>
  <si>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</si>
  <si>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</si>
  <si>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</si>
  <si>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</si>
  <si>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</si>
  <si>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</si>
  <si>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</si>
  <si>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</si>
  <si>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</si>
  <si>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</si>
  <si>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</si>
  <si>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</si>
  <si>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</si>
  <si>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</si>
  <si>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</si>
  <si>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</si>
  <si>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</si>
  <si>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</si>
  <si>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</si>
  <si>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</si>
  <si>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</si>
  <si>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</si>
  <si>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</si>
  <si>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</si>
  <si>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</si>
  <si>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</si>
  <si>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</si>
  <si>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</si>
  <si>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</si>
  <si>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</si>
  <si>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</si>
  <si>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</si>
  <si>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</si>
  <si>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</si>
  <si>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</si>
  <si>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</si>
  <si>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</si>
  <si>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</si>
  <si>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</si>
  <si>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</si>
  <si>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</si>
  <si>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</si>
  <si>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</si>
  <si>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</si>
  <si>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</si>
  <si>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</si>
  <si>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</si>
  <si>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</si>
  <si>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</si>
  <si>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</si>
  <si>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</si>
  <si>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</si>
  <si>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</si>
  <si>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</si>
  <si>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</si>
  <si>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</si>
  <si>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</si>
  <si>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</si>
  <si>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</si>
  <si>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</si>
  <si>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</si>
  <si>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</si>
  <si>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</si>
  <si>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</si>
  <si>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</si>
  <si>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</si>
  <si>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</si>
  <si>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</si>
  <si>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</si>
  <si>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</si>
  <si>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</si>
  <si>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</si>
  <si>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</si>
  <si>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</si>
  <si>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</si>
  <si>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</si>
  <si>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</si>
  <si>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</si>
  <si>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</si>
  <si>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</si>
  <si>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</si>
  <si>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</si>
  <si>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</si>
  <si>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</si>
  <si>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</si>
  <si>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</si>
  <si>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</si>
  <si>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</si>
  <si>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</si>
  <si>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</si>
  <si>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</si>
  <si>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</si>
  <si>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</si>
  <si>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</si>
  <si>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</si>
  <si>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</si>
  <si>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</si>
  <si>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</si>
  <si>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</si>
  <si>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</si>
  <si>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</si>
  <si>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</si>
  <si>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</si>
  <si>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</si>
  <si>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</si>
  <si>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</si>
  <si>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</si>
  <si>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</si>
  <si>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</si>
  <si>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</si>
  <si>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</si>
  <si>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</si>
  <si>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</si>
  <si>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</si>
  <si>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</si>
  <si>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</si>
  <si>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</si>
  <si>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</si>
  <si>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</si>
  <si>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</si>
  <si>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</si>
  <si>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</si>
  <si>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</si>
  <si>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</si>
  <si>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</si>
  <si>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</si>
  <si>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</si>
  <si>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</si>
  <si>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</si>
  <si>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</si>
  <si>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</si>
  <si>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</si>
  <si>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</si>
  <si>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</si>
  <si>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</si>
  <si>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</si>
  <si>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</si>
  <si>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</si>
  <si>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</si>
  <si>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</si>
  <si>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</si>
  <si>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</si>
  <si>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</si>
  <si>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</si>
  <si>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</si>
  <si>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</si>
  <si>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</si>
  <si>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</si>
  <si>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</si>
  <si>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</si>
  <si>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</si>
  <si>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</si>
  <si>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</si>
  <si>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</si>
  <si>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</si>
  <si>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</si>
  <si>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</si>
  <si>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</si>
  <si>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</si>
  <si>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</si>
  <si>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</si>
  <si>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</si>
  <si>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</si>
  <si>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</si>
  <si>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</si>
  <si>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</si>
  <si>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</si>
  <si>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</si>
  <si>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</si>
  <si>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</si>
  <si>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</si>
  <si>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</si>
  <si>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</si>
  <si>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</si>
  <si>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</si>
  <si>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</si>
  <si>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</si>
  <si>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</si>
  <si>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</si>
  <si>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</si>
  <si>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</si>
  <si>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</si>
  <si>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</si>
  <si>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</si>
  <si>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</si>
  <si>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</si>
  <si>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</si>
  <si>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</si>
  <si>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</si>
  <si>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</si>
  <si>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</si>
  <si>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</si>
  <si>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</si>
  <si>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</si>
  <si>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</si>
  <si>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</si>
  <si>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</si>
  <si>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</si>
  <si>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</si>
  <si>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</si>
  <si>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</si>
  <si>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</si>
  <si>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</si>
  <si>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</si>
  <si>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</si>
  <si>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</si>
  <si>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</si>
  <si>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</si>
  <si>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</si>
  <si>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</si>
  <si>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</si>
  <si>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</si>
  <si>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</si>
  <si>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</si>
  <si>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</si>
  <si>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</si>
  <si>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</si>
  <si>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</si>
  <si>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</si>
  <si>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</si>
  <si>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</si>
  <si>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</si>
  <si>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</si>
  <si>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</si>
  <si>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</si>
  <si>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</si>
  <si>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</si>
  <si>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</si>
  <si>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</si>
  <si>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</si>
  <si>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</si>
  <si>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</si>
  <si>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</si>
  <si>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</si>
  <si>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</si>
  <si>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</si>
  <si>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</si>
  <si>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</si>
  <si>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</si>
  <si>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</si>
  <si>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</si>
  <si>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</si>
  <si>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</si>
  <si>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</si>
  <si>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</si>
  <si>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</si>
  <si>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</si>
  <si>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</si>
  <si>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</si>
  <si>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</si>
  <si>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</si>
  <si>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</si>
  <si>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</si>
  <si>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</si>
  <si>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</si>
  <si>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</si>
  <si>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</si>
  <si>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</si>
  <si>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</si>
  <si>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</si>
  <si>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</si>
  <si>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</si>
  <si>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</si>
  <si>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</si>
  <si>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</si>
  <si>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</si>
  <si>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</si>
  <si>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</si>
  <si>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</si>
  <si>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</si>
  <si>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</si>
  <si>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</si>
  <si>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</si>
  <si>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</si>
  <si>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</si>
  <si>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</si>
  <si>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</si>
  <si>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</si>
  <si>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</si>
  <si>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</si>
  <si>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</si>
  <si>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</si>
  <si>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</si>
  <si>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</si>
  <si>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</si>
  <si>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</si>
  <si>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</si>
  <si>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</si>
  <si>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</si>
  <si>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</si>
  <si>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</si>
  <si>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</si>
  <si>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</si>
  <si>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</si>
  <si>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</si>
  <si>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</si>
  <si>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</si>
  <si>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</si>
  <si>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</si>
  <si>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</si>
  <si>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</si>
  <si>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</si>
  <si>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</si>
  <si>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</si>
  <si>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</si>
  <si>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</si>
  <si>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</si>
  <si>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</si>
  <si>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</si>
  <si>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</si>
  <si>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</si>
  <si>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</si>
  <si>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</si>
  <si>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</si>
  <si>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</si>
  <si>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</si>
  <si>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</si>
  <si>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</si>
  <si>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</si>
  <si>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</si>
  <si>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</si>
  <si>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</si>
  <si>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</si>
  <si>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</si>
  <si>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</si>
  <si>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</si>
  <si>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</si>
  <si>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</si>
  <si>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</si>
  <si>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</si>
  <si>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</si>
  <si>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</si>
  <si>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</si>
  <si>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</si>
  <si>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</si>
  <si>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</si>
  <si>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</si>
  <si>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</si>
  <si>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</si>
  <si>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</si>
  <si>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</si>
  <si>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</si>
  <si>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</si>
  <si>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</si>
  <si>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</si>
  <si>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</si>
  <si>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</si>
  <si>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</si>
  <si>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</si>
  <si>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</si>
  <si>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</si>
  <si>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</si>
  <si>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</si>
  <si>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</si>
  <si>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</si>
  <si>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</si>
  <si>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</si>
  <si>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</si>
  <si>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</si>
  <si>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</si>
  <si>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</si>
  <si>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</si>
  <si>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</si>
  <si>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</si>
  <si>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</si>
  <si>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</si>
  <si>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</si>
  <si>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</si>
  <si>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</si>
  <si>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</si>
  <si>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</si>
  <si>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</si>
  <si>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</si>
  <si>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</si>
  <si>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</si>
  <si>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</si>
  <si>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</si>
  <si>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</si>
  <si>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</si>
  <si>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</si>
  <si>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</si>
  <si>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</si>
  <si>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</si>
  <si>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</si>
  <si>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</si>
  <si>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</si>
  <si>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</si>
  <si>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</si>
  <si>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</si>
  <si>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</si>
  <si>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</si>
  <si>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</si>
  <si>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</si>
  <si>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</si>
  <si>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</si>
  <si>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</si>
  <si>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</si>
  <si>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</si>
  <si>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</si>
  <si>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</si>
  <si>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</si>
  <si>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</si>
  <si>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</si>
  <si>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</si>
  <si>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</si>
  <si>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</si>
  <si>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</si>
  <si>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</si>
  <si>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</si>
  <si>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</si>
  <si>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</si>
  <si>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</si>
  <si>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</si>
  <si>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</si>
  <si>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</si>
  <si>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</si>
  <si>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</si>
  <si>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</si>
  <si>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</si>
  <si>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</si>
  <si>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</si>
  <si>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</si>
  <si>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</si>
  <si>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</si>
  <si>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</si>
  <si>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</si>
  <si>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</si>
  <si>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</si>
  <si>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</si>
  <si>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</si>
  <si>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</si>
  <si>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</si>
  <si>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</si>
  <si>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</si>
  <si>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</si>
  <si>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</si>
  <si>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</si>
  <si>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</si>
  <si>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</si>
  <si>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</si>
  <si>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</si>
  <si>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</si>
  <si>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</si>
  <si>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</si>
  <si>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</si>
  <si>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</si>
  <si>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</si>
  <si>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</si>
  <si>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</si>
  <si>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</si>
  <si>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</si>
  <si>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</si>
  <si>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</si>
  <si>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</si>
  <si>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</si>
  <si>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</si>
  <si>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</si>
  <si>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</si>
  <si>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</si>
  <si>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</si>
  <si>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</si>
  <si>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</si>
  <si>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</si>
  <si>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</si>
  <si>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</si>
  <si>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</si>
  <si>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</si>
  <si>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</si>
  <si>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</si>
  <si>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</si>
  <si>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</si>
  <si>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</si>
  <si>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</si>
  <si>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</si>
  <si>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</si>
  <si>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</si>
  <si>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</si>
  <si>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</si>
  <si>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</si>
  <si>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</si>
  <si>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</si>
  <si>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</si>
  <si>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</si>
  <si>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</si>
  <si>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</si>
  <si>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</si>
  <si>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</si>
  <si>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</si>
  <si>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</si>
  <si>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</si>
  <si>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</si>
  <si>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</si>
  <si>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</si>
  <si>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</si>
  <si>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</si>
  <si>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</si>
  <si>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</si>
  <si>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</si>
  <si>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</si>
  <si>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</si>
  <si>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</si>
  <si>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</si>
  <si>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</si>
  <si>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</si>
  <si>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</si>
  <si>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</si>
  <si>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</si>
  <si>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</si>
  <si>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</si>
  <si>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</si>
  <si>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</si>
  <si>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</si>
  <si>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</si>
  <si>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</si>
  <si>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</si>
  <si>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</si>
  <si>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</si>
  <si>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</si>
  <si>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</si>
  <si>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</si>
  <si>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</si>
  <si>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</si>
  <si>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</si>
  <si>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</si>
  <si>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</si>
  <si>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</si>
  <si>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</si>
  <si>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</si>
  <si>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</si>
  <si>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</si>
  <si>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</si>
  <si>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</si>
  <si>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</si>
  <si>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</si>
  <si>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</si>
  <si>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</si>
  <si>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</si>
  <si>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</si>
  <si>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</si>
  <si>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</si>
  <si>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</si>
  <si>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</si>
  <si>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</si>
  <si>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</si>
  <si>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</si>
  <si>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</si>
  <si>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</si>
  <si>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</si>
  <si>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</si>
  <si>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</si>
  <si>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</si>
  <si>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</si>
  <si>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</si>
  <si>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</si>
  <si>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</si>
  <si>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</si>
  <si>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</si>
  <si>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</si>
  <si>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</si>
  <si>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</si>
  <si>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</si>
  <si>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</si>
  <si>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</si>
  <si>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</si>
  <si>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</si>
  <si>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</si>
  <si>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</si>
  <si>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</si>
  <si>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</si>
  <si>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</si>
  <si>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</si>
  <si>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</si>
  <si>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</si>
  <si>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</si>
  <si>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</si>
  <si>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</si>
  <si>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</si>
  <si>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</si>
  <si>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</si>
  <si>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</si>
  <si>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</si>
  <si>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</si>
  <si>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</si>
  <si>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</si>
  <si>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</si>
  <si>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</si>
  <si>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</si>
  <si>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</si>
  <si>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</si>
  <si>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</si>
  <si>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</si>
  <si>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</si>
  <si>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</si>
  <si>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</si>
  <si>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</si>
  <si>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</si>
  <si>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</si>
  <si>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</si>
  <si>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</si>
  <si>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</si>
  <si>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</si>
  <si>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</si>
  <si>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</si>
  <si>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</si>
  <si>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</si>
  <si>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</si>
  <si>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</si>
  <si>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</si>
  <si>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</si>
  <si>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</si>
  <si>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</si>
  <si>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</si>
  <si>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</si>
  <si>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</si>
  <si>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</si>
  <si>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</si>
  <si>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</si>
  <si>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</si>
  <si>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</si>
  <si>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</si>
  <si>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</si>
  <si>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</si>
  <si>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</si>
  <si>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</si>
  <si>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</si>
  <si>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</si>
  <si>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</si>
  <si>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</si>
  <si>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</si>
  <si>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</si>
  <si>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</si>
  <si>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</si>
  <si>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</si>
  <si>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</si>
  <si>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</si>
  <si>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</si>
  <si>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</si>
  <si>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</si>
  <si>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</si>
  <si>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</si>
  <si>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</si>
  <si>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</si>
  <si>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</si>
  <si>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</si>
  <si>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</si>
  <si>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</si>
  <si>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</si>
  <si>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</si>
  <si>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</si>
  <si>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</si>
  <si>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</si>
  <si>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</si>
  <si>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</si>
  <si>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</si>
  <si>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</si>
  <si>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</si>
  <si>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</si>
  <si>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</si>
  <si>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</si>
  <si>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</si>
  <si>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</si>
  <si>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</si>
  <si>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</si>
  <si>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</si>
  <si>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</si>
  <si>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</si>
  <si>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</si>
  <si>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</si>
  <si>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</si>
  <si>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</si>
  <si>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</si>
  <si>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</si>
  <si>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</si>
  <si>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</si>
  <si>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</si>
  <si>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</si>
  <si>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</si>
  <si>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</si>
  <si>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</si>
  <si>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</si>
  <si>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</si>
  <si>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</si>
  <si>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</si>
  <si>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</si>
  <si>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</si>
  <si>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</si>
  <si>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</si>
  <si>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</si>
  <si>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</si>
  <si>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</si>
  <si>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</si>
  <si>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</si>
  <si>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</si>
  <si>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</si>
  <si>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</si>
  <si>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</si>
  <si>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</si>
  <si>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</si>
  <si>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</si>
  <si>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</si>
  <si>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</si>
  <si>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</si>
  <si>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</si>
  <si>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</si>
  <si>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</si>
  <si>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</si>
  <si>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</si>
  <si>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</si>
  <si>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</si>
  <si>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</si>
  <si>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</si>
  <si>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</si>
  <si>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</si>
  <si>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</si>
  <si>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</si>
  <si>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</si>
  <si>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</si>
  <si>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</si>
  <si>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</si>
  <si>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</si>
  <si>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</si>
  <si>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</si>
  <si>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</si>
  <si>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</si>
  <si>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</si>
  <si>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</si>
  <si>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</si>
  <si>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</si>
  <si>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</si>
  <si>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</si>
  <si>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</si>
  <si>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</si>
  <si>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</si>
  <si>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</si>
  <si>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</si>
  <si>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</si>
  <si>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</si>
  <si>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</si>
  <si>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</si>
  <si>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</si>
  <si>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</si>
  <si>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</si>
  <si>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</si>
  <si>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</si>
  <si>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</si>
  <si>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</si>
  <si>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</si>
  <si>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</si>
  <si>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</si>
  <si>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</si>
  <si>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</si>
  <si>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</si>
  <si>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</si>
  <si>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</si>
  <si>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</si>
  <si>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</si>
  <si>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</si>
  <si>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</si>
  <si>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</si>
  <si>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</si>
  <si>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</si>
  <si>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</si>
  <si>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</si>
  <si>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</si>
  <si>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</si>
  <si>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</si>
  <si>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</si>
  <si>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</si>
  <si>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</si>
  <si>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</si>
  <si>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</si>
  <si>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</si>
  <si>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</si>
  <si>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</si>
  <si>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</si>
  <si>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</si>
  <si>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</si>
  <si>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</si>
  <si>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</si>
  <si>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</si>
  <si>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</si>
  <si>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</si>
  <si>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</si>
  <si>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</si>
  <si>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</si>
  <si>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</si>
  <si>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</si>
  <si>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</si>
  <si>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</si>
  <si>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</si>
  <si>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</si>
  <si>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</si>
  <si>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</si>
  <si>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</si>
  <si>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</si>
  <si>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</si>
  <si>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</si>
  <si>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</si>
  <si>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</si>
  <si>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</si>
  <si>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</si>
  <si>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</si>
  <si>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</si>
  <si>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</si>
  <si>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</si>
  <si>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</si>
  <si>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</si>
  <si>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</si>
  <si>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</si>
  <si>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</si>
  <si>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</si>
  <si>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</si>
  <si>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</si>
  <si>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</si>
  <si>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</si>
  <si>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</si>
  <si>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</si>
  <si>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</si>
  <si>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</si>
  <si>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</si>
  <si>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</si>
  <si>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</si>
  <si>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</si>
  <si>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</si>
  <si>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</si>
  <si>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</si>
  <si>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</si>
  <si>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</si>
  <si>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</si>
  <si>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</si>
  <si>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</si>
  <si>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</si>
  <si>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</si>
  <si>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</si>
  <si>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</si>
  <si>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</si>
  <si>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</si>
  <si>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</si>
  <si>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</si>
  <si>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</si>
  <si>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</si>
  <si>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</si>
  <si>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</si>
  <si>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</si>
  <si>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</si>
  <si>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</si>
  <si>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</si>
  <si>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</si>
  <si>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</si>
  <si>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</si>
  <si>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</si>
  <si>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</si>
  <si>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</si>
  <si>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</si>
  <si>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</si>
  <si>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</si>
  <si>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</si>
  <si>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</si>
  <si>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</si>
  <si>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</si>
  <si>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</si>
  <si>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</si>
  <si>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</si>
  <si>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</si>
  <si>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</si>
  <si>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</si>
  <si>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</si>
  <si>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</si>
  <si>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</si>
  <si>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</si>
  <si>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</si>
  <si>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</si>
  <si>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</si>
  <si>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</si>
  <si>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</si>
  <si>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</si>
  <si>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</si>
  <si>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</si>
  <si>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</si>
  <si>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</si>
  <si>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</si>
  <si>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</si>
  <si>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</si>
  <si>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</si>
  <si>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</si>
  <si>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</si>
  <si>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</si>
  <si>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</si>
  <si>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</si>
  <si>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</si>
  <si>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</si>
  <si>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</si>
  <si>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</si>
  <si>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</si>
  <si>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</si>
  <si>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</si>
  <si>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</si>
  <si>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</si>
  <si>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</si>
  <si>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</si>
  <si>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</si>
  <si>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</si>
  <si>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</si>
  <si>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</si>
  <si>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</si>
  <si>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</si>
  <si>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</si>
  <si>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</si>
  <si>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</si>
  <si>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</si>
  <si>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</si>
  <si>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</si>
  <si>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</si>
  <si>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</si>
  <si>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</si>
  <si>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</si>
  <si>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</si>
  <si>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</si>
  <si>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</si>
  <si>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</si>
  <si>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</si>
  <si>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</si>
  <si>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</si>
  <si>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</si>
  <si>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</si>
  <si>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</si>
  <si>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</si>
  <si>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</si>
  <si>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</si>
  <si>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</si>
  <si>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</si>
  <si>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</si>
  <si>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</si>
  <si>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</si>
  <si>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</si>
  <si>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</si>
  <si>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</si>
  <si>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</si>
  <si>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</si>
  <si>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</si>
  <si>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</si>
  <si>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</si>
  <si>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</si>
  <si>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</si>
  <si>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</si>
  <si>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</si>
  <si>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</si>
  <si>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</si>
  <si>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</si>
  <si>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</si>
  <si>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</si>
  <si>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</si>
  <si>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</si>
  <si>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</si>
  <si>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</si>
  <si>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</si>
  <si>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</si>
  <si>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</si>
  <si>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</si>
  <si>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</si>
  <si>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</si>
  <si>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</si>
  <si>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</si>
  <si>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</si>
  <si>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</si>
  <si>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</si>
  <si>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</si>
  <si>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</si>
  <si>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</si>
  <si>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</si>
  <si>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</si>
  <si>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</si>
  <si>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</si>
  <si>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</si>
  <si>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</si>
  <si>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</si>
  <si>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</si>
  <si>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</si>
  <si>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</si>
  <si>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</si>
  <si>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</si>
  <si>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</si>
  <si>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</si>
  <si>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</si>
  <si>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</si>
  <si>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</si>
  <si>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</si>
  <si>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</si>
  <si>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</si>
  <si>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</si>
  <si>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</si>
  <si>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</si>
  <si>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</si>
  <si>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</si>
  <si>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</si>
  <si>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</si>
  <si>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</si>
  <si>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</si>
  <si>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</si>
  <si>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</si>
  <si>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</si>
  <si>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</si>
  <si>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</si>
  <si>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</si>
  <si>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</si>
  <si>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</si>
  <si>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</si>
  <si>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</si>
  <si>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</si>
  <si>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</si>
  <si>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</si>
  <si>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</si>
  <si>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</si>
  <si>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</si>
  <si>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</si>
  <si>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</si>
  <si>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</si>
  <si>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</si>
  <si>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</si>
  <si>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</si>
  <si>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</si>
  <si>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</si>
  <si>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</si>
  <si>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</si>
  <si>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</si>
  <si>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</si>
  <si>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</si>
  <si>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</si>
  <si>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</si>
  <si>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</si>
  <si>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</si>
  <si>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</si>
  <si>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</si>
  <si>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</si>
  <si>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</si>
  <si>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</si>
  <si>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</si>
  <si>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</si>
  <si>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</si>
  <si>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</si>
  <si>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</si>
  <si>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</si>
  <si>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</si>
  <si>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</si>
  <si>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</si>
  <si>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</si>
  <si>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</si>
  <si>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</si>
  <si>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</si>
  <si>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</si>
  <si>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</si>
  <si>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</si>
  <si>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</si>
  <si>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</si>
  <si>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</si>
  <si>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</si>
  <si>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</si>
  <si>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</si>
  <si>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</si>
  <si>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</si>
  <si>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</si>
  <si>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</si>
  <si>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</si>
  <si>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</si>
  <si>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</si>
  <si>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</si>
  <si>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</si>
  <si>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</si>
  <si>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</si>
  <si>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</si>
  <si>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</si>
  <si>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</si>
  <si>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</si>
  <si>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</si>
  <si>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</si>
  <si>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</si>
  <si>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</si>
  <si>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</si>
  <si>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</si>
  <si>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</si>
  <si>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</si>
  <si>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</si>
  <si>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</si>
  <si>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</si>
  <si>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</si>
  <si>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</si>
  <si>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</si>
  <si>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</si>
  <si>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</si>
  <si>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</si>
  <si>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</si>
  <si>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</si>
  <si>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</si>
  <si>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</si>
  <si>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</si>
  <si>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</si>
  <si>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</si>
  <si>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</si>
  <si>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</si>
  <si>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</si>
  <si>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</si>
  <si>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</si>
  <si>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</si>
  <si>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</si>
  <si>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</si>
  <si>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</si>
  <si>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</si>
  <si>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</si>
  <si>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</si>
  <si>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</si>
  <si>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</si>
  <si>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</si>
  <si>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</si>
  <si>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</si>
  <si>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</si>
  <si>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</si>
  <si>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</si>
  <si>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</si>
  <si>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</si>
  <si>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</si>
  <si>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</si>
  <si>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</si>
  <si>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</si>
  <si>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</si>
  <si>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</si>
  <si>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</si>
  <si>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</si>
  <si>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</si>
  <si>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</si>
  <si>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</si>
  <si>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</si>
  <si>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</si>
  <si>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</si>
  <si>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</si>
  <si>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</si>
  <si>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</si>
  <si>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</si>
  <si>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</si>
  <si>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</si>
  <si>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</si>
  <si>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</si>
  <si>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</si>
  <si>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</si>
  <si>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</si>
  <si>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</si>
  <si>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</si>
  <si>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</si>
  <si>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</si>
  <si>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</si>
  <si>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</si>
  <si>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</si>
  <si>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</si>
  <si>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</si>
  <si>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</si>
  <si>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</si>
  <si>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</si>
  <si>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</si>
  <si>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</si>
  <si>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</si>
  <si>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</si>
  <si>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</si>
  <si>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</si>
  <si>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</si>
  <si>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</si>
  <si>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</si>
  <si>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</si>
  <si>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</si>
  <si>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</si>
  <si>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</si>
  <si>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</si>
  <si>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</si>
  <si>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</si>
  <si>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</si>
  <si>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</si>
  <si>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</si>
  <si>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</si>
  <si>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</si>
  <si>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</si>
  <si>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</si>
  <si>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</si>
  <si>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</si>
  <si>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</si>
  <si>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</si>
  <si>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</si>
  <si>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</si>
  <si>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</si>
  <si>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</si>
  <si>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</si>
  <si>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</si>
  <si>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</si>
  <si>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</si>
  <si>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</si>
  <si>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</si>
  <si>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</si>
  <si>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</si>
  <si>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</si>
  <si>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</si>
  <si>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</si>
  <si>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</si>
  <si>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</si>
  <si>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</si>
  <si>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</si>
  <si>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</si>
  <si>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</si>
  <si>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</si>
  <si>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</si>
  <si>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</si>
  <si>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</si>
  <si>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</si>
  <si>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</si>
  <si>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</si>
  <si>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</si>
  <si>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</si>
  <si>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</si>
  <si>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</si>
  <si>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</si>
  <si>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</si>
  <si>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</si>
  <si>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</si>
  <si>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</si>
  <si>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</si>
  <si>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</si>
  <si>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</si>
  <si>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</si>
  <si>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</si>
  <si>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</si>
  <si>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</si>
  <si>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</si>
  <si>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</si>
  <si>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</si>
  <si>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</si>
  <si>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</si>
  <si>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</si>
  <si>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</si>
  <si>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</si>
  <si>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</si>
  <si>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</si>
  <si>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</si>
  <si>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</si>
  <si>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</si>
  <si>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</si>
  <si>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</si>
  <si>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</si>
  <si>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</si>
  <si>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</si>
  <si>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</si>
  <si>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</si>
  <si>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</si>
  <si>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</si>
  <si>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</si>
  <si>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</si>
  <si>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</si>
  <si>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</si>
  <si>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</si>
  <si>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</si>
  <si>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</si>
  <si>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</si>
  <si>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</si>
  <si>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</si>
  <si>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</si>
  <si>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</si>
  <si>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</si>
  <si>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</si>
  <si>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</si>
  <si>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</si>
  <si>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</si>
  <si>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</si>
  <si>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</si>
  <si>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</si>
  <si>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</si>
  <si>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</si>
  <si>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</si>
  <si>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</si>
  <si>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</si>
  <si>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</si>
  <si>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</si>
  <si>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</si>
  <si>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</si>
  <si>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</si>
  <si>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</si>
  <si>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</si>
  <si>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</si>
  <si>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</si>
  <si>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</si>
  <si>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</si>
  <si>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</si>
  <si>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</si>
  <si>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</si>
  <si>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</si>
  <si>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</si>
  <si>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</si>
  <si>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</si>
  <si>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</si>
  <si>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</si>
  <si>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</si>
  <si>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</si>
  <si>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</si>
  <si>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</si>
  <si>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</si>
  <si>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</si>
  <si>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</si>
  <si>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</si>
  <si>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</si>
  <si>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</si>
  <si>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</si>
  <si>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</si>
  <si>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</si>
  <si>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</si>
  <si>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</si>
  <si>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</si>
  <si>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</si>
  <si>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</si>
  <si>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</si>
  <si>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</si>
  <si>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</si>
  <si>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</si>
  <si>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</si>
  <si>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</si>
  <si>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</si>
  <si>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</si>
  <si>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</si>
  <si>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</si>
  <si>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</si>
  <si>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</si>
  <si>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</si>
  <si>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</si>
  <si>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</si>
  <si>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</si>
  <si>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</si>
  <si>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</si>
  <si>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</si>
  <si>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</si>
  <si>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</si>
  <si>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</si>
  <si>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</si>
  <si>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</si>
  <si>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</si>
  <si>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</si>
  <si>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</si>
  <si>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</si>
  <si>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</si>
  <si>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</si>
  <si>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</si>
  <si>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</si>
  <si>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</si>
  <si>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</si>
  <si>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</si>
  <si>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</si>
  <si>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</si>
  <si>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</si>
  <si>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</si>
  <si>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</si>
  <si>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</si>
  <si>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</si>
  <si>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</si>
  <si>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</si>
  <si>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</si>
  <si>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</si>
  <si>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</si>
  <si>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</si>
  <si>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</si>
  <si>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</si>
  <si>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</si>
  <si>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</si>
  <si>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</si>
  <si>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</si>
  <si>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</si>
  <si>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</si>
  <si>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</si>
  <si>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</si>
  <si>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</si>
  <si>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</si>
  <si>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</si>
  <si>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</si>
  <si>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</si>
  <si>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</si>
  <si>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</si>
  <si>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</si>
  <si>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</si>
  <si>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</si>
  <si>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</si>
  <si>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</si>
  <si>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</si>
  <si>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</si>
  <si>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</si>
  <si>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</si>
  <si>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</si>
  <si>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</si>
  <si>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</si>
  <si>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</si>
  <si>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</si>
  <si>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</si>
  <si>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</si>
  <si>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</si>
  <si>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</si>
  <si>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</si>
  <si>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</si>
  <si>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</si>
  <si>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</si>
  <si>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</si>
  <si>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</si>
  <si>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</si>
  <si>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</si>
  <si>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</si>
  <si>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</si>
  <si>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</si>
  <si>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</si>
  <si>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</si>
  <si>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</si>
  <si>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</si>
  <si>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</si>
  <si>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</si>
  <si>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</si>
  <si>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</si>
  <si>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</si>
  <si>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</si>
  <si>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</si>
  <si>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</si>
  <si>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</si>
  <si>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</si>
  <si>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</si>
  <si>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</si>
  <si>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</si>
  <si>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</si>
  <si>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</si>
  <si>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</si>
  <si>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</si>
  <si>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</si>
  <si>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</si>
  <si>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</si>
  <si>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</si>
  <si>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</si>
  <si>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</si>
  <si>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</si>
  <si>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</si>
  <si>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</si>
  <si>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</si>
  <si>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</si>
  <si>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</si>
  <si>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</si>
  <si>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</si>
  <si>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</si>
  <si>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</si>
  <si>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</si>
  <si>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</si>
  <si>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</si>
  <si>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</si>
  <si>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</si>
  <si>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</si>
  <si>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</si>
  <si>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</si>
  <si>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</si>
  <si>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</si>
  <si>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</si>
  <si>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</si>
  <si>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</si>
  <si>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</si>
  <si>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</si>
  <si>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</si>
  <si>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</si>
  <si>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</si>
  <si>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</si>
  <si>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</si>
  <si>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</si>
  <si>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</si>
  <si>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</si>
  <si>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</si>
  <si>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</si>
  <si>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</si>
  <si>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</si>
  <si>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</si>
  <si>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</si>
  <si>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</si>
  <si>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</si>
  <si>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</si>
  <si>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</si>
  <si>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</si>
  <si>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</si>
  <si>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</si>
  <si>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</si>
  <si>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</si>
  <si>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</si>
  <si>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</si>
  <si>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</si>
  <si>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</si>
  <si>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</si>
  <si>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</si>
  <si>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</si>
  <si>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</si>
  <si>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</si>
  <si>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</si>
  <si>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</si>
  <si>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</si>
  <si>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</si>
  <si>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</si>
  <si>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</si>
  <si>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</si>
  <si>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</si>
  <si>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</si>
  <si>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</si>
  <si>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</si>
  <si>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</si>
  <si>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</si>
  <si>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</si>
  <si>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</si>
  <si>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</si>
  <si>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</si>
  <si>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</si>
  <si>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</si>
  <si>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</si>
  <si>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</si>
  <si>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</si>
  <si>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</si>
  <si>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</si>
  <si>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</si>
  <si>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</si>
  <si>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</si>
  <si>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</si>
  <si>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</si>
  <si>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</si>
  <si>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</si>
  <si>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</si>
  <si>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</si>
  <si>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</si>
  <si>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</si>
  <si>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</si>
  <si>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</si>
  <si>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</si>
  <si>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</si>
  <si>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</si>
  <si>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</si>
  <si>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</si>
  <si>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</si>
  <si>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</si>
  <si>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</si>
  <si>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</si>
  <si>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</si>
  <si>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</si>
  <si>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</si>
  <si>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</si>
  <si>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</si>
  <si>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</si>
  <si>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</si>
  <si>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</si>
  <si>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</si>
  <si>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</si>
  <si>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</si>
  <si>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</si>
  <si>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</si>
  <si>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</si>
  <si>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</si>
  <si>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</si>
  <si>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</si>
  <si>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</si>
  <si>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</si>
  <si>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</si>
  <si>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</si>
  <si>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</si>
  <si>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</si>
  <si>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</si>
  <si>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</si>
  <si>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</si>
  <si>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</si>
  <si>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</si>
  <si>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</si>
  <si>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</si>
  <si>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</si>
  <si>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</si>
  <si>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</si>
  <si>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</si>
  <si>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</si>
  <si>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</si>
  <si>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</si>
  <si>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</si>
  <si>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</si>
  <si>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</si>
  <si>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</si>
  <si>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</si>
  <si>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</si>
  <si>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</si>
  <si>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</si>
  <si>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</si>
  <si>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</si>
  <si>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</si>
  <si>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</si>
  <si>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</si>
  <si>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</si>
  <si>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</si>
  <si>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</si>
  <si>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</si>
  <si>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</si>
  <si>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</si>
  <si>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</si>
  <si>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</si>
  <si>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</si>
  <si>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</si>
  <si>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</si>
  <si>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</si>
  <si>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</si>
  <si>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</si>
  <si>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</si>
  <si>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</si>
  <si>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</si>
  <si>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</si>
  <si>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</si>
  <si>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</si>
  <si>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</si>
  <si>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</si>
  <si>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</si>
  <si>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</si>
  <si>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</si>
  <si>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</si>
  <si>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</si>
  <si>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</si>
  <si>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</si>
  <si>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</si>
  <si>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</si>
  <si>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</si>
  <si>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</si>
  <si>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</si>
  <si>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</si>
  <si>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</si>
  <si>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</si>
  <si>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</si>
  <si>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</si>
  <si>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</si>
  <si>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</si>
  <si>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</si>
  <si>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</si>
  <si>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</si>
  <si>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</si>
  <si>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</si>
  <si>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</si>
  <si>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</si>
  <si>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</si>
  <si>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</si>
  <si>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</si>
  <si>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</si>
  <si>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</si>
  <si>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</si>
  <si>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</si>
  <si>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</si>
  <si>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</si>
  <si>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</si>
  <si>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</si>
  <si>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</si>
  <si>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</si>
  <si>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</si>
  <si>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</si>
  <si>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</si>
  <si>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</si>
  <si>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</si>
  <si>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</si>
  <si>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</si>
  <si>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</si>
  <si>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</si>
  <si>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</si>
  <si>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</si>
  <si>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</si>
  <si>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</si>
  <si>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</si>
  <si>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</si>
  <si>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</si>
  <si>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</si>
  <si>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</si>
  <si>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</si>
  <si>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</si>
  <si>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</si>
  <si>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</si>
  <si>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</si>
  <si>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</si>
  <si>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</si>
  <si>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</si>
  <si>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</si>
  <si>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</si>
  <si>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</si>
  <si>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</si>
  <si>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</si>
  <si>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</si>
  <si>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</si>
  <si>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</si>
  <si>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</si>
  <si>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</si>
  <si>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</si>
  <si>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</si>
  <si>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</si>
  <si>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</si>
  <si>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</si>
  <si>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</si>
  <si>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</si>
  <si>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</si>
  <si>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</si>
  <si>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</si>
  <si>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</si>
  <si>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</si>
  <si>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</si>
  <si>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</si>
  <si>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</si>
  <si>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</si>
  <si>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</si>
  <si>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</si>
  <si>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</si>
  <si>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</si>
  <si>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</si>
  <si>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</si>
  <si>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</si>
  <si>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</si>
  <si>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</si>
  <si>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</si>
  <si>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</si>
  <si>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</si>
  <si>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</si>
  <si>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</si>
  <si>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</si>
  <si>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</si>
  <si>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</si>
  <si>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</si>
  <si>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</si>
  <si>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</si>
  <si>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</si>
  <si>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</si>
  <si>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</si>
  <si>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</si>
  <si>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</si>
  <si>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</si>
  <si>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</si>
  <si>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</si>
  <si>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</si>
  <si>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</si>
  <si>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</si>
  <si>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</si>
  <si>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</si>
  <si>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</si>
  <si>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</si>
  <si>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</si>
  <si>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</si>
  <si>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</si>
  <si>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</si>
  <si>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</si>
  <si>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</si>
  <si>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</si>
  <si>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</si>
  <si>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</si>
  <si>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</si>
  <si>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</si>
  <si>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</si>
  <si>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</si>
  <si>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</si>
  <si>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</si>
  <si>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</si>
  <si>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</si>
  <si>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</si>
  <si>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</si>
  <si>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</si>
  <si>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</si>
  <si>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</si>
  <si>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</si>
  <si>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</si>
  <si>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</si>
  <si>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</si>
  <si>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</si>
  <si>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</si>
  <si>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</si>
  <si>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</si>
  <si>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</si>
  <si>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</si>
  <si>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</si>
  <si>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</si>
  <si>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</si>
  <si>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</si>
  <si>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</si>
  <si>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</si>
  <si>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</si>
  <si>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</si>
  <si>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</si>
  <si>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</si>
  <si>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</si>
  <si>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</si>
  <si>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</si>
  <si>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</si>
  <si>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</si>
  <si>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</si>
  <si>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</si>
  <si>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</si>
  <si>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</si>
  <si>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</si>
  <si>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</si>
  <si>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</si>
  <si>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</si>
  <si>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</si>
  <si>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</si>
  <si>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</si>
  <si>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</si>
  <si>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</si>
  <si>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</si>
  <si>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</si>
  <si>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</si>
  <si>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</si>
  <si>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</si>
  <si>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</si>
  <si>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</si>
  <si>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</si>
  <si>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</si>
  <si>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</si>
  <si>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</si>
  <si>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</si>
  <si>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</si>
  <si>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</si>
  <si>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</si>
  <si>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</si>
  <si>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</si>
  <si>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</si>
  <si>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</si>
  <si>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</si>
  <si>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</si>
  <si>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</si>
  <si>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</si>
  <si>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</si>
  <si>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</si>
  <si>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</si>
  <si>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</si>
  <si>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</si>
  <si>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</si>
  <si>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</si>
  <si>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</si>
  <si>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</si>
  <si>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</si>
  <si>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</si>
  <si>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</si>
  <si>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</si>
  <si>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</si>
  <si>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</si>
  <si>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</si>
  <si>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</si>
  <si>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</si>
  <si>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</si>
  <si>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</si>
  <si>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</si>
  <si>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</si>
  <si>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</si>
  <si>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</si>
  <si>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</si>
  <si>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</si>
  <si>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</si>
  <si>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</si>
  <si>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</si>
  <si>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</si>
  <si>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</si>
  <si>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</si>
  <si>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</si>
  <si>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</si>
  <si>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</si>
  <si>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</si>
  <si>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</si>
  <si>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</si>
  <si>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</si>
  <si>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</si>
  <si>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</si>
  <si>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</si>
  <si>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</si>
  <si>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</si>
  <si>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</si>
  <si>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</si>
  <si>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</si>
  <si>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</si>
  <si>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</si>
  <si>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</si>
  <si>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</si>
  <si>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</si>
  <si>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</si>
  <si>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</si>
  <si>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</si>
  <si>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</si>
  <si>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</si>
  <si>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</si>
  <si>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</si>
  <si>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</si>
  <si>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</si>
  <si>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</si>
  <si>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</si>
  <si>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</si>
  <si>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</si>
  <si>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</si>
  <si>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</si>
  <si>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</si>
  <si>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</si>
  <si>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</si>
  <si>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</si>
  <si>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</si>
  <si>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</si>
  <si>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</si>
  <si>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</si>
  <si>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</si>
  <si>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</si>
  <si>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</si>
  <si>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</si>
  <si>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</si>
  <si>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</si>
  <si>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</si>
  <si>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</si>
  <si>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</si>
  <si>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</si>
  <si>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</si>
  <si>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</si>
  <si>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</si>
  <si>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</si>
  <si>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</si>
  <si>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</si>
  <si>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</si>
  <si>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</si>
  <si>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</si>
  <si>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</si>
  <si>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</si>
  <si>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</si>
  <si>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</si>
  <si>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</si>
  <si>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</si>
  <si>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</si>
  <si>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</si>
  <si>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</si>
  <si>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</si>
  <si>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</si>
  <si>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</si>
  <si>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</si>
  <si>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</si>
  <si>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</si>
  <si>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</si>
  <si>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</si>
  <si>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</si>
  <si>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</si>
  <si>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</si>
  <si>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</si>
  <si>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</si>
  <si>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</si>
  <si>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</si>
  <si>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</si>
  <si>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</si>
  <si>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</si>
  <si>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</si>
  <si>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</si>
  <si>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</si>
  <si>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</si>
  <si>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</si>
  <si>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</si>
  <si>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</si>
  <si>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</si>
  <si>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</si>
  <si>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</si>
  <si>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</si>
  <si>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</si>
  <si>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</si>
  <si>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</si>
  <si>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</si>
  <si>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</si>
  <si>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</si>
  <si>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</si>
  <si>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</si>
  <si>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</si>
  <si>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</si>
  <si>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</si>
  <si>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</si>
  <si>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</si>
  <si>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</si>
  <si>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</si>
  <si>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</si>
  <si>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</si>
  <si>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</si>
  <si>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</si>
  <si>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</si>
  <si>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</si>
  <si>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</si>
  <si>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</si>
  <si>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</si>
  <si>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</si>
  <si>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</si>
  <si>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</si>
  <si>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</si>
  <si>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</si>
  <si>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</si>
  <si>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</si>
  <si>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</si>
  <si>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</si>
  <si>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</si>
  <si>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</si>
  <si>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</si>
  <si>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</si>
  <si>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</si>
  <si>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</si>
  <si>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</si>
  <si>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</si>
  <si>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</si>
  <si>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</si>
  <si>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</si>
  <si>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</si>
  <si>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</si>
  <si>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</si>
  <si>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</si>
  <si>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</si>
  <si>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</si>
  <si>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</si>
  <si>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</si>
  <si>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</si>
  <si>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</si>
  <si>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</si>
  <si>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</si>
  <si>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</si>
  <si>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</si>
  <si>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</si>
  <si>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</si>
  <si>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</si>
  <si>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</si>
  <si>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</si>
  <si>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</si>
  <si>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</si>
  <si>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</si>
  <si>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</si>
  <si>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</si>
  <si>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</si>
  <si>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</si>
  <si>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</si>
  <si>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</si>
  <si>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</si>
  <si>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</si>
  <si>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</si>
  <si>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</si>
  <si>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</si>
  <si>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</si>
  <si>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</si>
  <si>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</si>
  <si>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</si>
  <si>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</si>
  <si>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</si>
  <si>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</si>
  <si>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</si>
  <si>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</si>
  <si>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</si>
  <si>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</si>
  <si>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</si>
  <si>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</si>
  <si>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</si>
  <si>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</si>
  <si>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</si>
  <si>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</si>
  <si>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</si>
  <si>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</si>
  <si>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</si>
  <si>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</si>
  <si>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</si>
  <si>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</si>
  <si>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</si>
  <si>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</si>
  <si>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</si>
  <si>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</si>
  <si>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</si>
  <si>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</si>
  <si>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</si>
  <si>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</si>
  <si>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</si>
  <si>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</si>
  <si>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</si>
  <si>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</si>
  <si>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</si>
  <si>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</si>
  <si>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</si>
  <si>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</si>
  <si>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</si>
  <si>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</si>
  <si>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</si>
  <si>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</si>
  <si>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</si>
  <si>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</si>
  <si>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</si>
  <si>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</si>
  <si>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</si>
  <si>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</si>
  <si>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</si>
  <si>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</si>
  <si>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</si>
  <si>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</si>
  <si>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</si>
  <si>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</si>
  <si>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</si>
  <si>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</si>
  <si>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</si>
  <si>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</si>
  <si>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</si>
  <si>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</si>
  <si>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</si>
  <si>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</si>
  <si>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</si>
  <si>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</si>
  <si>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</si>
  <si>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</si>
  <si>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</si>
  <si>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</si>
  <si>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</si>
  <si>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</si>
  <si>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</si>
  <si>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</si>
  <si>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</si>
  <si>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</si>
  <si>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</si>
  <si>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</si>
  <si>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</si>
  <si>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</si>
  <si>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</si>
  <si>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</si>
  <si>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</si>
  <si>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</si>
  <si>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</si>
  <si>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</si>
  <si>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</si>
  <si>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</si>
  <si>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</si>
  <si>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</si>
  <si>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</si>
  <si>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</si>
  <si>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</si>
  <si>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</si>
  <si>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</si>
  <si>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</si>
  <si>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</si>
  <si>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</si>
  <si>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</si>
  <si>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</si>
  <si>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</si>
  <si>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</si>
  <si>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</si>
  <si>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</si>
  <si>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</si>
  <si>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</si>
  <si>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</si>
  <si>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</si>
  <si>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</si>
  <si>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</si>
  <si>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</si>
  <si>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</si>
  <si>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</si>
  <si>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</si>
  <si>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</si>
  <si>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</si>
  <si>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</si>
  <si>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</si>
  <si>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</si>
  <si>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</si>
  <si>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</si>
  <si>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</si>
  <si>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</si>
  <si>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</si>
  <si>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</si>
  <si>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</si>
  <si>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</si>
  <si>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</si>
  <si>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</si>
  <si>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</si>
  <si>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</si>
  <si>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</si>
  <si>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</si>
  <si>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</si>
  <si>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</si>
  <si>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</si>
  <si>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</si>
  <si>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</si>
  <si>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</si>
  <si>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</si>
  <si>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</si>
  <si>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</si>
  <si>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</si>
  <si>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</si>
  <si>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</si>
  <si>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</si>
  <si>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</si>
  <si>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</si>
  <si>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</si>
  <si>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</si>
  <si>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</si>
  <si>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</si>
  <si>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</si>
  <si>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</si>
  <si>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</si>
  <si>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</si>
  <si>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</si>
  <si>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</si>
  <si>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</si>
  <si>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</si>
  <si>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</si>
  <si>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</si>
  <si>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</si>
  <si>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</si>
  <si>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</si>
  <si>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</si>
  <si>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</si>
  <si>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</si>
  <si>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</si>
  <si>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</si>
  <si>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</si>
  <si>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</si>
  <si>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</si>
  <si>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</si>
  <si>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</si>
  <si>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</si>
  <si>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</si>
  <si>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</si>
  <si>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</si>
  <si>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</si>
  <si>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</si>
  <si>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</si>
  <si>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</si>
  <si>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</si>
  <si>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</si>
  <si>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</si>
  <si>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</si>
  <si>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</si>
  <si>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</si>
  <si>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</si>
  <si>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</si>
  <si>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</si>
  <si>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</si>
  <si>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</si>
  <si>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</si>
  <si>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</si>
  <si>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</si>
  <si>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</si>
  <si>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</si>
  <si>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</si>
  <si>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</si>
  <si>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</si>
  <si>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</si>
  <si>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</si>
  <si>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</si>
  <si>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</si>
  <si>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</si>
  <si>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</si>
  <si>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</si>
  <si>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</si>
  <si>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</si>
  <si>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</si>
  <si>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</si>
  <si>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</si>
  <si>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</si>
  <si>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</si>
  <si>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</si>
  <si>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</si>
  <si>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</si>
  <si>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</si>
  <si>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</si>
  <si>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</si>
  <si>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</si>
  <si>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</si>
  <si>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</si>
  <si>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</si>
  <si>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</si>
  <si>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</si>
  <si>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</si>
  <si>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</si>
  <si>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</si>
  <si>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</si>
  <si>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</si>
  <si>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</si>
  <si>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</si>
  <si>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</si>
  <si>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</si>
  <si>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</si>
  <si>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</si>
  <si>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</si>
  <si>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</si>
  <si>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</si>
  <si>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</si>
  <si>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</si>
  <si>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</si>
  <si>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</si>
  <si>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</si>
  <si>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</si>
  <si>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</si>
  <si>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</si>
  <si>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</si>
  <si>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</si>
  <si>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</si>
  <si>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</si>
  <si>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</si>
  <si>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</si>
  <si>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</si>
  <si>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</si>
  <si>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</si>
  <si>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</si>
  <si>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</si>
  <si>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</si>
  <si>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</si>
  <si>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</si>
  <si>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</si>
  <si>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</si>
  <si>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</si>
  <si>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</si>
  <si>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</si>
  <si>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</si>
  <si>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</si>
  <si>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</si>
  <si>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</si>
  <si>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</si>
  <si>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</si>
  <si>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</si>
  <si>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</si>
  <si>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</si>
  <si>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</si>
  <si>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</si>
  <si>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</si>
  <si>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</si>
  <si>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</si>
  <si>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</si>
  <si>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</si>
  <si>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</si>
  <si>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</si>
  <si>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</si>
  <si>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</si>
  <si>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</si>
  <si>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</si>
  <si>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</si>
  <si>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</si>
  <si>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</si>
  <si>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</si>
  <si>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</si>
  <si>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</si>
  <si>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</si>
  <si>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</si>
  <si>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</si>
  <si>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</si>
  <si>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</si>
  <si>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</si>
  <si>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</si>
  <si>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</si>
  <si>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</si>
  <si>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</si>
  <si>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</si>
  <si>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</si>
  <si>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</si>
  <si>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</si>
  <si>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</si>
  <si>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</si>
  <si>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</si>
  <si>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</si>
  <si>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</si>
  <si>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</si>
  <si>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</si>
  <si>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</si>
  <si>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</si>
  <si>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</si>
  <si>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</si>
  <si>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</si>
  <si>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</si>
  <si>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</si>
  <si>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</si>
  <si>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</si>
  <si>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</si>
  <si>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</si>
  <si>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</si>
  <si>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</si>
  <si>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</si>
  <si>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</si>
  <si>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</si>
  <si>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</si>
  <si>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</si>
  <si>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</si>
  <si>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</si>
  <si>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</si>
  <si>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</si>
  <si>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</si>
  <si>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</si>
  <si>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</si>
  <si>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</si>
  <si>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</si>
  <si>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</si>
  <si>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</si>
  <si>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</si>
  <si>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</si>
  <si>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</si>
  <si>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</si>
  <si>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</si>
  <si>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</si>
  <si>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</si>
  <si>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</si>
  <si>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</si>
  <si>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</si>
  <si>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</si>
  <si>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</si>
  <si>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</si>
  <si>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</si>
  <si>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</si>
  <si>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</si>
  <si>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</si>
  <si>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</si>
  <si>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</si>
  <si>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</si>
  <si>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</si>
  <si>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</si>
  <si>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</si>
  <si>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</si>
  <si>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</si>
  <si>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</si>
  <si>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</si>
  <si>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</si>
  <si>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</si>
  <si>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</si>
  <si>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</si>
  <si>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</si>
  <si>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</si>
  <si>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</si>
  <si>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</si>
  <si>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</si>
  <si>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</si>
  <si>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</si>
  <si>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</si>
  <si>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</si>
  <si>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</si>
  <si>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</si>
  <si>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</si>
  <si>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</si>
  <si>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</si>
  <si>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</si>
  <si>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</si>
  <si>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</si>
  <si>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</si>
  <si>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</si>
  <si>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</si>
  <si>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</si>
  <si>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</si>
  <si>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</si>
  <si>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</si>
  <si>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</si>
  <si>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</si>
  <si>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</si>
  <si>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</si>
  <si>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</si>
  <si>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</si>
  <si>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</si>
  <si>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</si>
  <si>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</si>
  <si>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</si>
  <si>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</si>
  <si>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</si>
  <si>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</si>
  <si>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</si>
  <si>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</si>
  <si>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</si>
  <si>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</si>
  <si>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</si>
  <si>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</si>
  <si>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</si>
  <si>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</si>
  <si>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</si>
  <si>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</si>
  <si>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</si>
  <si>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</si>
  <si>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</si>
  <si>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</si>
  <si>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</si>
  <si>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</si>
  <si>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</si>
  <si>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</si>
  <si>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</si>
  <si>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</si>
  <si>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</si>
  <si>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</si>
  <si>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</si>
  <si>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</si>
  <si>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</si>
  <si>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</si>
  <si>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</si>
  <si>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</si>
  <si>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</si>
  <si>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</si>
  <si>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</si>
  <si>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</si>
  <si>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</si>
  <si>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</si>
  <si>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</si>
  <si>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</si>
  <si>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</si>
  <si>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</si>
  <si>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</si>
  <si>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</si>
  <si>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</si>
  <si>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</si>
  <si>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</si>
  <si>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</si>
  <si>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</si>
  <si>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</si>
  <si>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</si>
  <si>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</si>
  <si>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</si>
  <si>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</si>
  <si>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</si>
  <si>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</si>
  <si>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</si>
  <si>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</si>
  <si>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</si>
  <si>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</si>
  <si>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</si>
  <si>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</si>
  <si>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</si>
  <si>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</si>
  <si>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</si>
  <si>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</si>
  <si>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</si>
  <si>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</si>
  <si>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</si>
  <si>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</si>
  <si>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</si>
  <si>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</si>
  <si>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</si>
  <si>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</si>
  <si>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</si>
  <si>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</si>
  <si>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</si>
  <si>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</si>
  <si>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</si>
  <si>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</si>
  <si>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</si>
  <si>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</si>
  <si>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</si>
  <si>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</si>
  <si>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</si>
  <si>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</si>
  <si>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</si>
  <si>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</si>
  <si>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</si>
  <si>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</si>
  <si>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</si>
  <si>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</si>
  <si>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</si>
  <si>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</si>
  <si>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</si>
  <si>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</si>
  <si>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</si>
  <si>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</si>
  <si>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</si>
  <si>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</si>
  <si>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</si>
  <si>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</si>
  <si>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</si>
  <si>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</si>
  <si>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</si>
  <si>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</si>
  <si>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</si>
  <si>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</si>
  <si>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</si>
  <si>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</si>
  <si>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</si>
  <si>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</si>
  <si>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</si>
  <si>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</si>
  <si>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</si>
  <si>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</si>
  <si>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</si>
  <si>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</si>
  <si>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</si>
  <si>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</si>
  <si>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</si>
  <si>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</si>
  <si>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</si>
  <si>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</si>
  <si>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</si>
  <si>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</si>
  <si>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</si>
  <si>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</si>
  <si>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</si>
  <si>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</si>
  <si>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</si>
  <si>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</si>
  <si>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</si>
  <si>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</si>
  <si>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</si>
  <si>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</si>
  <si>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</si>
  <si>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</si>
  <si>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</si>
  <si>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</si>
  <si>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</si>
  <si>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</si>
  <si>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</si>
  <si>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</si>
  <si>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</si>
  <si>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</si>
  <si>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</si>
  <si>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</si>
  <si>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</si>
  <si>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</si>
  <si>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</si>
  <si>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</si>
  <si>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</si>
  <si>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</si>
  <si>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</si>
  <si>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</si>
  <si>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</si>
  <si>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</si>
  <si>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</si>
  <si>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</si>
  <si>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</si>
  <si>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</si>
  <si>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</si>
  <si>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</si>
  <si>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</si>
  <si>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</si>
  <si>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</si>
  <si>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</si>
  <si>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</si>
  <si>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</si>
  <si>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</si>
  <si>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</si>
  <si>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</si>
  <si>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</si>
  <si>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</si>
  <si>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</si>
  <si>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</si>
  <si>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</si>
  <si>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</si>
  <si>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</si>
  <si>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</si>
  <si>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</si>
  <si>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</si>
  <si>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</si>
  <si>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</si>
  <si>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</si>
  <si>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</si>
  <si>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</si>
  <si>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</si>
  <si>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</si>
  <si>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</si>
  <si>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</si>
  <si>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</si>
  <si>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</si>
  <si>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</si>
  <si>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</si>
  <si>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</si>
  <si>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</si>
  <si>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</si>
  <si>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</si>
  <si>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</si>
  <si>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</si>
  <si>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</si>
  <si>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</si>
  <si>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</si>
  <si>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</si>
  <si>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</si>
  <si>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</si>
  <si>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</si>
  <si>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</si>
  <si>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</si>
  <si>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</si>
  <si>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</si>
  <si>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</si>
  <si>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</si>
  <si>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</si>
  <si>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</si>
  <si>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</si>
  <si>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</si>
  <si>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</si>
  <si>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</si>
  <si>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</si>
  <si>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</si>
  <si>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</si>
  <si>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</si>
  <si>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</si>
  <si>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</si>
  <si>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</si>
  <si>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</si>
  <si>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</si>
  <si>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</si>
  <si>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</si>
  <si>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</si>
  <si>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</si>
  <si>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</si>
  <si>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</si>
  <si>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</si>
  <si>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</si>
  <si>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</si>
  <si>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</si>
  <si>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</si>
  <si>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</si>
  <si>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</si>
  <si>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</si>
  <si>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</si>
  <si>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</si>
  <si>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</si>
  <si>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</si>
  <si>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</si>
  <si>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</si>
  <si>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</si>
  <si>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</si>
  <si>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</si>
  <si>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</si>
  <si>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</si>
  <si>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</si>
  <si>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</si>
  <si>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</si>
  <si>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</si>
  <si>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</si>
  <si>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</si>
  <si>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</si>
  <si>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</si>
  <si>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</si>
  <si>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</si>
  <si>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</si>
  <si>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</si>
  <si>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</si>
  <si>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</si>
  <si>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</si>
  <si>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</si>
  <si>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</si>
  <si>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</si>
  <si>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</si>
  <si>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</si>
  <si>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</si>
  <si>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</si>
  <si>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</si>
  <si>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</si>
  <si>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</si>
  <si>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</si>
  <si>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</si>
  <si>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</si>
  <si>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</si>
  <si>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</si>
  <si>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</si>
  <si>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</si>
  <si>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</si>
  <si>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</si>
  <si>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</si>
  <si>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</si>
  <si>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</si>
  <si>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</si>
  <si>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</si>
  <si>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</si>
  <si>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</si>
  <si>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</si>
  <si>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</si>
  <si>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</si>
  <si>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</si>
  <si>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</si>
  <si>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</si>
  <si>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</si>
  <si>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</si>
  <si>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</si>
  <si>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</si>
  <si>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</si>
  <si>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</si>
  <si>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</si>
  <si>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</si>
  <si>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</si>
  <si>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</si>
  <si>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</si>
  <si>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</si>
  <si>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</si>
  <si>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</si>
  <si>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</si>
  <si>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</si>
  <si>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</si>
  <si>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</si>
  <si>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</si>
  <si>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</si>
  <si>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</si>
  <si>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</si>
  <si>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</si>
  <si>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</si>
  <si>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</si>
  <si>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</si>
  <si>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</si>
  <si>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</si>
  <si>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</si>
  <si>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</si>
  <si>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</si>
  <si>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</si>
  <si>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</si>
  <si>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</si>
  <si>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</si>
  <si>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</si>
  <si>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</si>
  <si>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</si>
  <si>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</si>
  <si>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</si>
  <si>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</si>
  <si>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</si>
  <si>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</si>
  <si>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</si>
  <si>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</si>
  <si>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</si>
  <si>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</si>
  <si>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</si>
  <si>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</si>
  <si>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</si>
  <si>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</si>
  <si>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</si>
  <si>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</si>
  <si>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</si>
  <si>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</si>
  <si>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</si>
  <si>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</si>
  <si>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</si>
  <si>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</si>
  <si>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</si>
  <si>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</si>
  <si>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</si>
  <si>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</si>
  <si>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</si>
  <si>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</si>
  <si>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</si>
  <si>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</si>
  <si>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</si>
  <si>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</si>
  <si>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</si>
  <si>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</si>
  <si>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</si>
  <si>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</si>
  <si>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</si>
  <si>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</si>
  <si>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</si>
  <si>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</si>
  <si>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</si>
  <si>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</si>
  <si>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</si>
  <si>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</si>
  <si>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</si>
  <si>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</si>
  <si>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</si>
  <si>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</si>
  <si>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</si>
  <si>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</si>
  <si>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</si>
  <si>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</si>
  <si>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</si>
  <si>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</si>
  <si>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</si>
  <si>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</si>
  <si>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</si>
  <si>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</si>
  <si>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</si>
  <si>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</si>
  <si>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</si>
  <si>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</si>
  <si>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</si>
  <si>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</si>
  <si>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</si>
  <si>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</si>
  <si>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</si>
  <si>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</si>
  <si>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</si>
  <si>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</si>
  <si>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</si>
  <si>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</si>
  <si>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</si>
  <si>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</si>
  <si>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</si>
  <si>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</si>
  <si>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</si>
  <si>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</si>
  <si>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</si>
  <si>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</si>
  <si>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</si>
  <si>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</si>
  <si>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</si>
  <si>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</si>
  <si>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</si>
  <si>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</si>
  <si>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</si>
  <si>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</si>
  <si>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</si>
  <si>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</si>
  <si>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</si>
  <si>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</si>
  <si>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</si>
  <si>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</si>
  <si>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</si>
  <si>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</si>
  <si>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</si>
  <si>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</si>
  <si>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</si>
  <si>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</si>
  <si>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</si>
  <si>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</si>
  <si>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</si>
  <si>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</si>
  <si>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</si>
  <si>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</si>
  <si>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</si>
  <si>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</si>
  <si>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</si>
  <si>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</si>
  <si>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</si>
  <si>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</si>
  <si>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</si>
  <si>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</si>
  <si>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</si>
  <si>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</si>
  <si>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</si>
  <si>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</si>
  <si>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</si>
  <si>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</si>
  <si>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</si>
  <si>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</si>
  <si>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</si>
  <si>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</si>
  <si>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</si>
  <si>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</si>
  <si>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</si>
  <si>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</si>
  <si>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</si>
  <si>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</si>
  <si>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</si>
  <si>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</si>
  <si>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</si>
  <si>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</si>
  <si>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</si>
  <si>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</si>
  <si>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</si>
  <si>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</si>
  <si>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</si>
  <si>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</si>
  <si>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</si>
  <si>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</si>
  <si>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</si>
  <si>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</si>
  <si>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</si>
  <si>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</si>
  <si>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</si>
  <si>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</si>
  <si>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</si>
  <si>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</si>
  <si>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</si>
  <si>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</si>
  <si>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</si>
  <si>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</si>
  <si>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</si>
  <si>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</si>
  <si>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</si>
  <si>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</si>
  <si>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</si>
  <si>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</si>
  <si>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</si>
  <si>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</si>
  <si>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</si>
  <si>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</si>
  <si>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</si>
  <si>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</si>
  <si>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</si>
  <si>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</si>
  <si>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</si>
  <si>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</si>
  <si>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</si>
  <si>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</si>
  <si>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</si>
  <si>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</si>
  <si>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</si>
  <si>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</si>
  <si>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</si>
  <si>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</si>
  <si>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</si>
  <si>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</si>
  <si>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</si>
  <si>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</si>
  <si>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</si>
  <si>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</si>
  <si>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</si>
  <si>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</si>
  <si>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</si>
  <si>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</si>
  <si>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</si>
  <si>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</si>
  <si>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</si>
  <si>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</si>
  <si>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</si>
  <si>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</si>
  <si>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</si>
  <si>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</si>
  <si>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</si>
  <si>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</si>
  <si>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</si>
  <si>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</si>
  <si>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</si>
  <si>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</si>
  <si>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</si>
  <si>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</si>
  <si>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</si>
  <si>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</si>
  <si>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</si>
  <si>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</si>
  <si>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</si>
  <si>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</si>
  <si>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</si>
  <si>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</si>
  <si>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</si>
  <si>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</si>
  <si>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</si>
  <si>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</si>
  <si>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</si>
  <si>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</si>
  <si>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</si>
  <si>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</si>
  <si>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</si>
  <si>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</si>
  <si>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</si>
  <si>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</si>
  <si>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</si>
  <si>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</si>
  <si>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</si>
  <si>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</si>
  <si>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</si>
  <si>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</si>
  <si>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</si>
  <si>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</si>
  <si>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</si>
  <si>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</si>
  <si>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</si>
  <si>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</si>
  <si>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</si>
  <si>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</si>
  <si>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</si>
  <si>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</si>
  <si>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</si>
  <si>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</si>
  <si>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</si>
  <si>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</si>
  <si>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</si>
  <si>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</si>
  <si>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</si>
  <si>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</si>
  <si>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</si>
  <si>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</si>
  <si>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</si>
  <si>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</si>
  <si>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</si>
  <si>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</si>
  <si>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</si>
  <si>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</si>
  <si>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</si>
  <si>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</si>
  <si>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</si>
  <si>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</si>
  <si>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</si>
  <si>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</si>
  <si>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</si>
  <si>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</si>
  <si>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</si>
  <si>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</si>
  <si>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</si>
  <si>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</si>
  <si>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</si>
  <si>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</si>
  <si>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</si>
  <si>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</si>
  <si>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</si>
  <si>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</si>
  <si>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</si>
  <si>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</si>
  <si>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</si>
  <si>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</si>
  <si>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</si>
  <si>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</si>
  <si>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</si>
  <si>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</si>
  <si>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</si>
  <si>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</si>
  <si>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</si>
  <si>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</si>
  <si>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</si>
  <si>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</si>
  <si>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</si>
  <si>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</si>
  <si>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</si>
  <si>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</si>
  <si>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</si>
  <si>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</si>
  <si>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</si>
  <si>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</si>
  <si>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</si>
  <si>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</si>
  <si>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</si>
  <si>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</si>
  <si>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</si>
  <si>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</si>
  <si>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</si>
  <si>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</si>
  <si>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</si>
  <si>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</si>
  <si>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</si>
  <si>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</si>
  <si>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</si>
  <si>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</si>
  <si>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</si>
  <si>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</si>
  <si>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</si>
  <si>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</si>
  <si>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</si>
  <si>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</si>
  <si>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</si>
  <si>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</si>
  <si>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</si>
  <si>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</si>
  <si>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</si>
  <si>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</si>
  <si>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</si>
  <si>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</si>
  <si>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</si>
  <si>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</si>
  <si>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</si>
  <si>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</si>
  <si>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</si>
  <si>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</si>
  <si>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</si>
  <si>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</si>
  <si>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</si>
  <si>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</si>
  <si>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</si>
  <si>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</si>
  <si>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</si>
  <si>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</si>
  <si>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</si>
  <si>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</si>
  <si>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</si>
  <si>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</si>
  <si>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</si>
  <si>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</si>
  <si>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</si>
  <si>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</si>
  <si>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</si>
  <si>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</si>
  <si>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</si>
  <si>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</si>
  <si>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</si>
  <si>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</si>
  <si>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</si>
  <si>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</si>
  <si>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</si>
  <si>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</si>
  <si>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</si>
  <si>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</si>
  <si>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</si>
  <si>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</si>
  <si>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</si>
  <si>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</si>
  <si>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</si>
  <si>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</si>
  <si>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</si>
  <si>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</si>
  <si>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</si>
  <si>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</si>
  <si>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</si>
  <si>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</si>
  <si>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</si>
  <si>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</si>
  <si>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</si>
  <si>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</si>
  <si>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</si>
  <si>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</si>
  <si>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</si>
  <si>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</si>
  <si>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</si>
  <si>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</si>
  <si>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</si>
  <si>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</si>
  <si>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</si>
  <si>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</si>
  <si>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</si>
  <si>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</si>
  <si>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</si>
  <si>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</si>
  <si>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</si>
  <si>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</si>
  <si>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</si>
  <si>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</si>
  <si>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</si>
  <si>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</si>
  <si>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</si>
  <si>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</si>
  <si>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</si>
  <si>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</si>
  <si>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</si>
  <si>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</si>
  <si>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</si>
  <si>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</si>
  <si>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</si>
  <si>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</si>
  <si>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</si>
  <si>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</si>
  <si>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</si>
  <si>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</si>
  <si>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</si>
  <si>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</si>
  <si>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</si>
  <si>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</si>
  <si>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</si>
  <si>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</si>
  <si>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</si>
  <si>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</si>
  <si>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</si>
  <si>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</si>
  <si>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</si>
  <si>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</si>
  <si>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</si>
  <si>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</si>
  <si>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</si>
  <si>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</si>
  <si>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</si>
  <si>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</si>
  <si>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</si>
  <si>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</si>
  <si>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</si>
  <si>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</si>
  <si>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</si>
  <si>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</si>
  <si>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</si>
  <si>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</si>
  <si>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</si>
  <si>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</si>
  <si>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</si>
  <si>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</si>
  <si>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</si>
  <si>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</si>
  <si>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</si>
  <si>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</si>
  <si>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</si>
  <si>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</si>
  <si>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</si>
  <si>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</si>
  <si>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</si>
  <si>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</si>
  <si>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</si>
  <si>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</si>
  <si>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</si>
  <si>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</si>
  <si>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</si>
  <si>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</si>
  <si>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</si>
  <si>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</si>
  <si>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</si>
  <si>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</si>
  <si>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</si>
  <si>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</si>
  <si>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</si>
  <si>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</si>
  <si>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</si>
  <si>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</si>
  <si>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</si>
  <si>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</si>
  <si>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</si>
  <si>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</si>
  <si>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</si>
  <si>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</si>
  <si>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</si>
  <si>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</si>
  <si>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</si>
  <si>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</si>
  <si>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</si>
  <si>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</si>
  <si>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</si>
  <si>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</si>
  <si>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</si>
  <si>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</si>
  <si>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</si>
  <si>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</si>
  <si>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</si>
  <si>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</si>
  <si>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</si>
  <si>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</si>
  <si>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</si>
  <si>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</si>
  <si>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</si>
  <si>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</si>
  <si>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</si>
  <si>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</si>
  <si>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</si>
  <si>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</si>
  <si>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</si>
  <si>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</si>
  <si>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</si>
  <si>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</si>
  <si>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</si>
  <si>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</si>
  <si>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</si>
  <si>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</si>
  <si>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</si>
  <si>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</si>
  <si>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</si>
  <si>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</si>
  <si>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</si>
  <si>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</si>
  <si>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</si>
  <si>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</si>
  <si>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</si>
  <si>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</si>
  <si>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</si>
  <si>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</si>
  <si>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</si>
  <si>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</si>
  <si>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</si>
  <si>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</si>
  <si>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</si>
  <si>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</si>
  <si>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</si>
  <si>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</si>
  <si>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</si>
  <si>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</si>
  <si>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</si>
  <si>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</si>
  <si>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</si>
  <si>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</si>
  <si>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</si>
  <si>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</si>
  <si>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</si>
  <si>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</si>
  <si>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</si>
  <si>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</si>
  <si>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</si>
  <si>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</si>
  <si>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</si>
  <si>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</si>
  <si>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</si>
  <si>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</si>
  <si>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</si>
  <si>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</si>
  <si>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</si>
  <si>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</si>
  <si>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</si>
  <si>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</si>
  <si>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</si>
  <si>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</si>
  <si>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</si>
  <si>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</si>
  <si>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</si>
  <si>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</si>
  <si>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</si>
  <si>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</si>
  <si>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</si>
  <si>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</si>
  <si>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</si>
  <si>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</si>
  <si>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</si>
  <si>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</si>
  <si>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</si>
  <si>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</si>
  <si>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</si>
  <si>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</si>
  <si>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</si>
  <si>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</si>
  <si>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</si>
  <si>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</si>
  <si>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</si>
  <si>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</si>
  <si>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</si>
  <si>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</si>
  <si>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</si>
  <si>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</si>
  <si>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</si>
  <si>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</si>
  <si>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</si>
  <si>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</si>
  <si>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</si>
  <si>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</si>
  <si>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</si>
  <si>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</si>
  <si>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</si>
  <si>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</si>
  <si>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</si>
  <si>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</si>
  <si>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</si>
  <si>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</si>
  <si>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</si>
  <si>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</si>
  <si>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</si>
  <si>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</si>
  <si>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</si>
  <si>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</si>
  <si>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</si>
  <si>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</si>
  <si>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</si>
  <si>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</si>
  <si>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</si>
  <si>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</si>
  <si>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</si>
  <si>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</si>
  <si>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</si>
  <si>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</si>
  <si>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</si>
  <si>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</si>
  <si>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</si>
  <si>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</si>
  <si>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</si>
  <si>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</si>
  <si>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</si>
  <si>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</si>
  <si>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</si>
  <si>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</si>
  <si>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</si>
  <si>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</si>
  <si>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</si>
  <si>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</si>
  <si>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</si>
  <si>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</si>
  <si>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</si>
  <si>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</si>
  <si>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</si>
  <si>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</si>
  <si>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</si>
  <si>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</si>
  <si>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</si>
  <si>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</si>
  <si>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</si>
  <si>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</si>
  <si>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</si>
  <si>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</si>
  <si>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</si>
  <si>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</si>
  <si>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</si>
  <si>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</si>
  <si>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</si>
  <si>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</si>
  <si>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</si>
  <si>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</si>
  <si>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</si>
  <si>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</si>
  <si>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</si>
  <si>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</si>
  <si>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</si>
  <si>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</si>
  <si>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</si>
  <si>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</si>
  <si>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</si>
  <si>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</si>
  <si>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</si>
  <si>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</si>
  <si>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</si>
  <si>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</si>
  <si>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</si>
  <si>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</si>
  <si>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</si>
  <si>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</si>
  <si>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</si>
  <si>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</si>
  <si>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</si>
  <si>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</si>
  <si>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</si>
  <si>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</si>
  <si>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</si>
  <si>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</si>
  <si>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</si>
  <si>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</si>
  <si>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</si>
  <si>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</si>
  <si>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</si>
  <si>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</si>
  <si>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</si>
  <si>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</si>
  <si>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</si>
  <si>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</si>
  <si>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</si>
  <si>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</si>
  <si>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</si>
  <si>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</si>
  <si>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</si>
  <si>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</si>
  <si>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</si>
  <si>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</si>
  <si>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</si>
  <si>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</si>
  <si>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</si>
  <si>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</si>
  <si>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</si>
  <si>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</si>
  <si>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</si>
  <si>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</si>
  <si>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</si>
  <si>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</si>
  <si>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</si>
  <si>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</si>
  <si>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</si>
  <si>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</si>
  <si>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</si>
  <si>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</si>
  <si>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</si>
  <si>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</si>
  <si>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</si>
  <si>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</si>
  <si>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</si>
  <si>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</si>
  <si>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</si>
  <si>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</si>
  <si>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</si>
  <si>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</si>
  <si>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</si>
  <si>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</si>
  <si>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</si>
  <si>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</si>
  <si>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</si>
  <si>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</si>
  <si>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</si>
  <si>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</si>
  <si>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</si>
  <si>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</si>
  <si>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</si>
  <si>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</si>
  <si>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</si>
  <si>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</si>
  <si>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</si>
  <si>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</si>
  <si>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</si>
  <si>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</si>
  <si>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</si>
  <si>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</si>
  <si>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</si>
  <si>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</si>
  <si>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</si>
  <si>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</si>
  <si>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</si>
  <si>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</si>
  <si>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</si>
  <si>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</si>
  <si>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</si>
  <si>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</si>
  <si>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</si>
  <si>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</si>
  <si>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</si>
  <si>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</si>
  <si>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</si>
  <si>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</si>
  <si>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</si>
  <si>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</si>
  <si>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</si>
  <si>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</si>
  <si>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</si>
  <si>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</si>
  <si>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</si>
  <si>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</si>
  <si>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</si>
  <si>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</si>
  <si>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</si>
  <si>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</si>
  <si>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</si>
  <si>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</si>
  <si>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</si>
  <si>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</si>
  <si>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</si>
  <si>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</si>
  <si>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</si>
  <si>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</si>
  <si>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</si>
  <si>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</si>
  <si>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</si>
  <si>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</si>
  <si>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</si>
  <si>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</si>
  <si>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</si>
  <si>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</si>
  <si>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</si>
  <si>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</si>
  <si>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</si>
  <si>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</si>
  <si>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</si>
  <si>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</si>
  <si>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</si>
  <si>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</si>
  <si>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</si>
  <si>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</si>
  <si>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</si>
  <si>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</si>
  <si>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</si>
  <si>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</si>
  <si>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</si>
  <si>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</si>
  <si>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</si>
  <si>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</si>
  <si>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</si>
  <si>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</si>
  <si>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</si>
  <si>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</si>
  <si>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</si>
  <si>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</si>
  <si>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</si>
  <si>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</si>
  <si>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</si>
  <si>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</si>
  <si>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</si>
  <si>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</si>
  <si>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</si>
  <si>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</si>
  <si>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</si>
  <si>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</si>
  <si>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</si>
  <si>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</si>
  <si>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</si>
  <si>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</si>
  <si>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</si>
  <si>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</si>
  <si>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</si>
  <si>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</si>
  <si>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</si>
  <si>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</si>
  <si>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</si>
  <si>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</si>
  <si>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</si>
  <si>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</si>
  <si>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</si>
  <si>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</si>
  <si>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</si>
  <si>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</si>
  <si>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</si>
  <si>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</si>
  <si>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</si>
  <si>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</si>
  <si>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</si>
  <si>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</si>
  <si>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</si>
  <si>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</si>
  <si>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</si>
  <si>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</si>
  <si>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</si>
  <si>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</si>
  <si>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</si>
  <si>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</si>
  <si>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</si>
  <si>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</si>
  <si>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</si>
  <si>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</si>
  <si>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</si>
  <si>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</si>
  <si>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</si>
  <si>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</si>
  <si>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</si>
  <si>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</si>
  <si>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</si>
  <si>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</si>
  <si>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</si>
  <si>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</si>
  <si>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</si>
  <si>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</si>
  <si>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</si>
  <si>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</si>
  <si>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</si>
  <si>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</si>
  <si>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</si>
  <si>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</si>
  <si>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</si>
  <si>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</si>
  <si>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</si>
  <si>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</si>
  <si>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</si>
  <si>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</si>
  <si>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</si>
  <si>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</si>
  <si>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</si>
  <si>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</si>
  <si>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</si>
  <si>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</si>
  <si>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</si>
  <si>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</si>
  <si>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</si>
  <si>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</si>
  <si>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</si>
  <si>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</si>
  <si>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</si>
  <si>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</si>
  <si>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</si>
  <si>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</si>
  <si>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</si>
  <si>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</si>
  <si>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</si>
  <si>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</si>
  <si>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</si>
  <si>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</si>
  <si>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</si>
  <si>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</si>
  <si>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</si>
  <si>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</si>
  <si>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</si>
  <si>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</si>
  <si>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</si>
  <si>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</si>
  <si>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</si>
  <si>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</si>
  <si>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</si>
  <si>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</si>
  <si>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</si>
  <si>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</si>
  <si>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</si>
  <si>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</si>
  <si>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</si>
  <si>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</si>
  <si>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</si>
  <si>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</si>
  <si>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</si>
  <si>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</si>
  <si>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</si>
  <si>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</si>
  <si>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</si>
  <si>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</si>
  <si>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</si>
  <si>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</si>
  <si>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</si>
  <si>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</si>
  <si>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</si>
  <si>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</si>
  <si>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</si>
  <si>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</si>
  <si>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</si>
  <si>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</si>
  <si>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</si>
  <si>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</si>
  <si>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</si>
  <si>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</si>
  <si>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</si>
  <si>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</si>
  <si>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</si>
  <si>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</si>
  <si>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</si>
  <si>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</si>
  <si>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</si>
  <si>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</si>
  <si>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</si>
  <si>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</si>
  <si>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</si>
  <si>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</si>
  <si>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</si>
  <si>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</si>
  <si>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</si>
  <si>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</si>
  <si>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</si>
  <si>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</si>
  <si>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</si>
  <si>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</si>
  <si>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</si>
  <si>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</si>
  <si>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</si>
  <si>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</si>
  <si>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</si>
  <si>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</si>
  <si>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</si>
  <si>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</si>
  <si>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</si>
  <si>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</si>
  <si>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</si>
  <si>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</si>
  <si>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</si>
  <si>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</si>
  <si>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</si>
  <si>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</si>
  <si>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</si>
  <si>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</si>
  <si>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</si>
  <si>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</si>
  <si>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</si>
  <si>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</si>
  <si>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</si>
  <si>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</si>
  <si>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</si>
  <si>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</si>
  <si>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</si>
  <si>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</si>
  <si>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</si>
  <si>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</si>
  <si>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</si>
  <si>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</si>
  <si>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</si>
  <si>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</si>
  <si>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</si>
  <si>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</si>
  <si>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</si>
  <si>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</si>
  <si>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</si>
  <si>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</si>
  <si>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</si>
  <si>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</si>
  <si>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</si>
  <si>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</si>
  <si>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</si>
  <si>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</si>
  <si>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</si>
  <si>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</si>
  <si>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</si>
  <si>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</si>
  <si>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</si>
  <si>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</si>
  <si>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</si>
  <si>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</si>
  <si>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</si>
  <si>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</si>
  <si>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</si>
  <si>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</si>
  <si>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</si>
  <si>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</si>
  <si>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</si>
  <si>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</si>
  <si>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</si>
  <si>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</si>
  <si>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</si>
  <si>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</si>
  <si>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</si>
  <si>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</si>
  <si>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</si>
  <si>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</si>
  <si>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</si>
  <si>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</si>
  <si>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</si>
  <si>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</si>
  <si>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</si>
  <si>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</si>
  <si>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</si>
  <si>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</si>
  <si>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</si>
  <si>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</si>
  <si>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</si>
  <si>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</si>
  <si>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</si>
  <si>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</si>
  <si>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</si>
  <si>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</si>
  <si>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</si>
  <si>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</si>
  <si>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</si>
  <si>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</si>
  <si>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</si>
  <si>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</si>
  <si>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</si>
  <si>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</si>
  <si>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</si>
  <si>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</si>
  <si>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</si>
  <si>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</si>
  <si>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</si>
  <si>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</si>
  <si>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</si>
  <si>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</si>
  <si>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</si>
  <si>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</si>
  <si>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</si>
  <si>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</si>
  <si>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</si>
  <si>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</si>
  <si>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</si>
  <si>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</si>
  <si>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</si>
  <si>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</si>
  <si>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</si>
  <si>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</si>
  <si>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</si>
  <si>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</si>
  <si>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</si>
  <si>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</si>
  <si>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</si>
  <si>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</si>
  <si>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</si>
  <si>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</si>
  <si>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</si>
  <si>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</si>
  <si>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</si>
  <si>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</si>
  <si>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</si>
  <si>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</si>
  <si>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</si>
  <si>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</si>
  <si>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</si>
  <si>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</si>
  <si>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</si>
  <si>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</si>
  <si>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</si>
  <si>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</si>
  <si>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</si>
  <si>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</si>
  <si>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</si>
  <si>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</si>
  <si>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</si>
  <si>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</si>
  <si>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</si>
  <si>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</si>
  <si>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</si>
  <si>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</si>
  <si>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</si>
  <si>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</si>
  <si>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</si>
  <si>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</si>
  <si>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</si>
  <si>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</si>
  <si>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</si>
  <si>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</si>
  <si>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</si>
  <si>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</si>
  <si>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</si>
  <si>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</si>
  <si>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</si>
  <si>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</si>
  <si>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</si>
  <si>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</si>
  <si>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</si>
  <si>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</si>
  <si>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</si>
  <si>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</si>
  <si>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</si>
  <si>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</si>
  <si>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</si>
  <si>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</si>
  <si>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</si>
  <si>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</si>
  <si>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</si>
  <si>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</si>
  <si>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</si>
  <si>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</si>
  <si>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</si>
  <si>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</si>
  <si>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</si>
  <si>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</si>
  <si>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</si>
  <si>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</si>
  <si>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</si>
  <si>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</si>
  <si>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</si>
  <si>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</si>
  <si>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</si>
  <si>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</si>
  <si>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</si>
  <si>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</si>
  <si>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</si>
  <si>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</si>
  <si>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</si>
  <si>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</si>
  <si>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</si>
  <si>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</si>
  <si>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</si>
  <si>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</si>
  <si>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</si>
  <si>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</si>
  <si>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</si>
  <si>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</si>
  <si>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</si>
  <si>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</si>
  <si>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</si>
  <si>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</si>
  <si>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</si>
  <si>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</si>
  <si>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</si>
  <si>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</si>
  <si>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</si>
  <si>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</si>
  <si>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</si>
  <si>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</si>
  <si>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</si>
  <si>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</si>
  <si>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</si>
  <si>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</si>
  <si>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</si>
  <si>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</si>
  <si>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</si>
  <si>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</si>
  <si>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</si>
  <si>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</si>
  <si>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</si>
  <si>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</si>
  <si>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</si>
  <si>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</si>
  <si>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</si>
  <si>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</si>
  <si>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</si>
  <si>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</si>
  <si>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</si>
  <si>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</si>
  <si>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</si>
  <si>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</si>
  <si>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</si>
  <si>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</si>
  <si>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</si>
  <si>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</si>
  <si>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</si>
  <si>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</si>
  <si>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</si>
  <si>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</si>
  <si>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</si>
  <si>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</si>
  <si>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</si>
  <si>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</si>
  <si>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</si>
  <si>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</si>
  <si>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</si>
  <si>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</si>
  <si>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</si>
  <si>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</si>
  <si>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</si>
  <si>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</si>
  <si>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</si>
  <si>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</si>
  <si>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</si>
  <si>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</si>
  <si>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</si>
  <si>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</si>
  <si>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</si>
  <si>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</si>
  <si>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</si>
  <si>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</si>
  <si>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</si>
  <si>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</si>
  <si>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</si>
  <si>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</si>
  <si>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</si>
  <si>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</si>
  <si>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</si>
  <si>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</si>
  <si>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</si>
  <si>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</si>
  <si>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</si>
  <si>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</si>
  <si>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</si>
  <si>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</si>
  <si>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</si>
  <si>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</si>
  <si>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</si>
  <si>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</si>
  <si>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</si>
  <si>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</si>
  <si>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</si>
  <si>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</si>
  <si>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</si>
  <si>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</si>
  <si>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</si>
  <si>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</si>
  <si>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</si>
  <si>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</si>
  <si>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</si>
  <si>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</si>
  <si>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</si>
  <si>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</si>
  <si>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</si>
  <si>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</si>
  <si>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</si>
  <si>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</si>
  <si>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</si>
  <si>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</si>
  <si>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</si>
  <si>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</si>
  <si>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</si>
  <si>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</si>
  <si>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</si>
  <si>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</si>
  <si>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</si>
  <si>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</si>
  <si>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</si>
  <si>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</si>
  <si>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</si>
  <si>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</si>
  <si>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</si>
  <si>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</si>
  <si>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</si>
  <si>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</si>
  <si>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</si>
  <si>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</si>
  <si>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</si>
  <si>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</si>
  <si>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</si>
  <si>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</si>
  <si>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</si>
  <si>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</si>
  <si>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</si>
  <si>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</si>
  <si>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</si>
  <si>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</si>
  <si>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</si>
  <si>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</si>
  <si>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</si>
  <si>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</si>
  <si>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</si>
  <si>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</si>
  <si>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</si>
  <si>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</si>
  <si>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</si>
  <si>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</si>
  <si>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</si>
  <si>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</si>
  <si>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</si>
  <si>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</si>
  <si>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</si>
  <si>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</si>
  <si>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</si>
  <si>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</si>
  <si>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</si>
  <si>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</si>
  <si>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</si>
  <si>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</si>
  <si>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</si>
  <si>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</si>
  <si>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</si>
  <si>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</si>
  <si>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</si>
  <si>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</si>
  <si>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</si>
  <si>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</si>
  <si>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</si>
  <si>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</si>
  <si>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</si>
  <si>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</si>
  <si>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</si>
  <si>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</si>
  <si>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</si>
  <si>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</si>
  <si>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</si>
  <si>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</si>
  <si>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</si>
  <si>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</si>
  <si>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</si>
  <si>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</si>
  <si>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</si>
  <si>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</si>
  <si>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</si>
  <si>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</si>
  <si>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</si>
  <si>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</si>
  <si>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</si>
  <si>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</si>
  <si>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</si>
  <si>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</si>
  <si>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</si>
  <si>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</si>
  <si>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</si>
  <si>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</si>
  <si>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</si>
  <si>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</si>
  <si>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</si>
  <si>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</si>
  <si>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</si>
  <si>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</si>
  <si>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</si>
  <si>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</si>
  <si>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</si>
  <si>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</si>
  <si>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</si>
  <si>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</si>
  <si>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</si>
  <si>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</si>
  <si>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</si>
  <si>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</si>
  <si>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</si>
  <si>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</si>
  <si>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</si>
  <si>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</si>
  <si>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</si>
  <si>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</si>
  <si>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</si>
  <si>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</si>
  <si>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</si>
  <si>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</si>
  <si>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</si>
  <si>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</si>
  <si>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</si>
  <si>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</si>
  <si>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</si>
  <si>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</si>
  <si>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</si>
  <si>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</si>
  <si>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</si>
  <si>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</si>
  <si>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</si>
  <si>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</si>
  <si>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</si>
  <si>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</si>
  <si>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</si>
  <si>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</si>
  <si>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</si>
  <si>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</si>
  <si>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</si>
  <si>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</si>
  <si>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</si>
  <si>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</si>
  <si>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</si>
  <si>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</si>
  <si>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</si>
  <si>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</si>
  <si>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</si>
  <si>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</si>
  <si>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</si>
  <si>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</si>
  <si>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</si>
  <si>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</si>
  <si>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</si>
  <si>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</si>
  <si>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</si>
  <si>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</si>
  <si>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</si>
  <si>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</si>
  <si>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</si>
  <si>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</si>
  <si>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</si>
  <si>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</si>
  <si>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</si>
  <si>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</si>
  <si>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</si>
  <si>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</si>
  <si>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</si>
  <si>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</si>
  <si>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</si>
  <si>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</si>
  <si>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</si>
  <si>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</si>
  <si>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</si>
  <si>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</si>
  <si>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</si>
  <si>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</si>
  <si>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</si>
  <si>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</si>
  <si>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</si>
  <si>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</si>
  <si>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</si>
  <si>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</si>
  <si>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</si>
  <si>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</si>
  <si>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</si>
  <si>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</si>
  <si>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</si>
  <si>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</si>
  <si>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</si>
  <si>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</si>
  <si>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</si>
  <si>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</si>
  <si>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</si>
  <si>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</si>
  <si>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</si>
  <si>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</si>
  <si>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</si>
  <si>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</si>
  <si>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</si>
  <si>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</si>
  <si>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</si>
  <si>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</si>
  <si>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</si>
  <si>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</si>
  <si>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</si>
  <si>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</si>
  <si>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</si>
  <si>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</si>
  <si>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</si>
  <si>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</si>
  <si>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</si>
  <si>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</si>
  <si>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</si>
  <si>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</si>
  <si>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</si>
  <si>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</si>
  <si>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</si>
  <si>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</si>
  <si>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</si>
  <si>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</si>
  <si>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</si>
  <si>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</si>
  <si>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</si>
  <si>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</si>
  <si>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</si>
  <si>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</si>
  <si>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</si>
  <si>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</si>
  <si>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</si>
  <si>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</si>
  <si>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</si>
  <si>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</si>
  <si>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</si>
  <si>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</si>
  <si>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</si>
  <si>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</si>
  <si>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</si>
  <si>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</si>
  <si>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</si>
  <si>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</si>
  <si>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</si>
  <si>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</si>
  <si>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</si>
  <si>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</si>
  <si>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</si>
  <si>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</si>
  <si>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</si>
  <si>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</si>
  <si>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</si>
  <si>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</si>
  <si>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</si>
  <si>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</si>
  <si>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</si>
  <si>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</si>
  <si>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</si>
  <si>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</si>
  <si>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</si>
  <si>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</si>
  <si>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</si>
  <si>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</si>
  <si>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</si>
  <si>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</si>
  <si>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</si>
  <si>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</si>
  <si>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</si>
  <si>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</si>
  <si>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</si>
  <si>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</si>
  <si>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</si>
  <si>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</si>
  <si>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</si>
  <si>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</si>
  <si>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</si>
  <si>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</si>
  <si>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</si>
  <si>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</si>
  <si>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</si>
  <si>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</si>
  <si>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</si>
  <si>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</si>
  <si>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</si>
  <si>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</si>
  <si>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</si>
  <si>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</si>
  <si>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</si>
  <si>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</si>
  <si>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</si>
  <si>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</si>
  <si>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</si>
  <si>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</si>
  <si>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</si>
  <si>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</si>
  <si>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</si>
  <si>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</si>
  <si>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</si>
  <si>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</si>
  <si>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</si>
  <si>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</si>
  <si>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</si>
  <si>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</si>
  <si>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</si>
  <si>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</si>
  <si>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</si>
  <si>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</si>
  <si>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</si>
  <si>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</si>
  <si>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</si>
  <si>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</si>
  <si>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</si>
  <si>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</si>
  <si>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</si>
  <si>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</si>
  <si>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</si>
  <si>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</si>
  <si>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</si>
  <si>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</si>
  <si>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</si>
  <si>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</si>
  <si>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</si>
  <si>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</si>
  <si>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</si>
  <si>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</si>
  <si>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</si>
  <si>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</si>
  <si>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</si>
  <si>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</si>
  <si>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</si>
  <si>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</si>
  <si>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</si>
  <si>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</si>
  <si>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</si>
  <si>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</si>
  <si>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</si>
  <si>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</si>
  <si>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</si>
  <si>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</si>
  <si>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</si>
  <si>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</si>
  <si>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</si>
  <si>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</si>
  <si>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</si>
  <si>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</si>
  <si>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</si>
  <si>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</si>
  <si>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</si>
  <si>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</si>
  <si>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</si>
  <si>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</si>
  <si>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</si>
  <si>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</si>
  <si>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</si>
  <si>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</si>
  <si>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</si>
  <si>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</si>
  <si>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</si>
  <si>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</si>
  <si>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</si>
  <si>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</si>
  <si>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</si>
  <si>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</si>
  <si>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</si>
  <si>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</si>
  <si>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</si>
  <si>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</si>
  <si>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</si>
  <si>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</si>
  <si>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</si>
  <si>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</si>
  <si>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</si>
  <si>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</si>
  <si>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</si>
  <si>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</si>
  <si>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</si>
  <si>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</si>
  <si>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</si>
  <si>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</si>
  <si>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</si>
  <si>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</si>
  <si>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</si>
  <si>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</si>
  <si>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</si>
  <si>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</si>
  <si>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</si>
  <si>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</si>
  <si>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</si>
  <si>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</si>
  <si>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</si>
  <si>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</si>
  <si>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</si>
  <si>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</si>
  <si>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</si>
  <si>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</si>
  <si>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</si>
  <si>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</si>
  <si>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</si>
  <si>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</si>
  <si>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</si>
  <si>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</si>
  <si>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</si>
  <si>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</si>
  <si>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</si>
  <si>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</si>
  <si>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</si>
  <si>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</si>
  <si>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</si>
  <si>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</si>
  <si>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</si>
  <si>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</si>
  <si>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</si>
  <si>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</si>
  <si>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</si>
  <si>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</si>
  <si>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</si>
  <si>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</si>
  <si>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</si>
  <si>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</si>
  <si>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</si>
  <si>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</si>
  <si>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</si>
  <si>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</si>
  <si>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</si>
  <si>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</si>
  <si>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</si>
  <si>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</si>
  <si>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</si>
  <si>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</si>
  <si>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</si>
  <si>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</si>
  <si>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</si>
  <si>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</si>
  <si>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</si>
  <si>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</si>
  <si>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</si>
  <si>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</si>
  <si>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</si>
  <si>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</si>
  <si>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</si>
  <si>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</si>
  <si>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</si>
  <si>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</si>
  <si>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</si>
  <si>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</si>
  <si>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</si>
  <si>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</si>
  <si>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</si>
  <si>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</si>
  <si>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</si>
  <si>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</si>
  <si>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</si>
  <si>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</si>
  <si>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</si>
  <si>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</si>
  <si>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</si>
  <si>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</si>
  <si>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</si>
  <si>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</si>
  <si>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</si>
  <si>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</si>
  <si>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</si>
  <si>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</si>
  <si>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</si>
  <si>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</si>
  <si>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</si>
  <si>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</si>
  <si>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</si>
  <si>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</si>
  <si>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</si>
  <si>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</si>
  <si>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</si>
  <si>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</si>
  <si>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</si>
  <si>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</si>
  <si>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</si>
  <si>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</si>
  <si>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</si>
  <si>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</si>
  <si>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</si>
  <si>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</si>
  <si>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</si>
  <si>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</si>
  <si>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</si>
  <si>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</si>
  <si>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</si>
  <si>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</si>
  <si>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</si>
  <si>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</si>
  <si>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</si>
  <si>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</si>
  <si>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</si>
  <si>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</si>
  <si>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</si>
  <si>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</si>
  <si>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</si>
  <si>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</si>
  <si>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</si>
  <si>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</si>
  <si>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</si>
  <si>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</si>
  <si>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</si>
  <si>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</si>
  <si>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</si>
  <si>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</si>
  <si>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</si>
  <si>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</si>
  <si>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</si>
  <si>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</si>
  <si>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</si>
  <si>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</si>
  <si>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</si>
  <si>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</si>
  <si>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</si>
  <si>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</si>
  <si>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</si>
  <si>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</si>
  <si>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</si>
  <si>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</si>
  <si>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</si>
  <si>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</si>
  <si>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</si>
  <si>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</si>
  <si>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</si>
  <si>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</si>
  <si>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</si>
  <si>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</si>
  <si>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</si>
  <si>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</si>
  <si>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</si>
  <si>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</si>
  <si>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</si>
  <si>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</si>
  <si>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</si>
  <si>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</si>
  <si>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</si>
  <si>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</si>
  <si>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</si>
  <si>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</si>
  <si>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</si>
  <si>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</si>
  <si>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</si>
  <si>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</si>
  <si>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</si>
  <si>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</si>
  <si>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</si>
  <si>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</si>
  <si>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</si>
  <si>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</si>
  <si>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</si>
  <si>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</si>
  <si>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</si>
  <si>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</si>
  <si>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</si>
  <si>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</si>
  <si>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</si>
  <si>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</si>
  <si>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</si>
  <si>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</si>
  <si>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</si>
  <si>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</si>
  <si>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</si>
  <si>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</si>
  <si>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</si>
  <si>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</si>
  <si>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</si>
  <si>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</si>
  <si>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</si>
  <si>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</si>
  <si>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</si>
  <si>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</si>
  <si>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</si>
  <si>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</si>
  <si>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</si>
  <si>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</si>
  <si>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</si>
  <si>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</si>
  <si>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</si>
  <si>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</si>
  <si>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</si>
  <si>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</si>
  <si>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</si>
  <si>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</si>
  <si>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</si>
  <si>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</si>
  <si>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</si>
  <si>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</si>
  <si>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</si>
  <si>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</si>
  <si>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</si>
  <si>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</si>
  <si>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</si>
  <si>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</si>
  <si>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</si>
  <si>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</si>
  <si>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</si>
  <si>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</si>
  <si>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</si>
  <si>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</si>
  <si>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</si>
  <si>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</si>
  <si>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</si>
  <si>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</si>
  <si>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</si>
  <si>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</si>
  <si>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</si>
  <si>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</si>
  <si>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</si>
  <si>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</si>
  <si>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</si>
  <si>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</si>
  <si>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</si>
  <si>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</si>
  <si>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</si>
  <si>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</si>
  <si>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</si>
  <si>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</si>
  <si>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</si>
  <si>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</si>
  <si>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</si>
  <si>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</si>
  <si>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</si>
  <si>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</si>
  <si>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</si>
  <si>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</si>
  <si>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</si>
  <si>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</si>
  <si>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</si>
  <si>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</si>
  <si>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</si>
  <si>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</si>
  <si>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</si>
  <si>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</si>
  <si>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</si>
  <si>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</si>
  <si>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</si>
  <si>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</si>
  <si>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</si>
  <si>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</si>
  <si>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</si>
  <si>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</si>
  <si>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</si>
  <si>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</si>
  <si>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</si>
  <si>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</si>
  <si>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</si>
  <si>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</si>
  <si>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</si>
  <si>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</si>
  <si>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</si>
  <si>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</si>
  <si>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</si>
  <si>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</si>
  <si>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</si>
  <si>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</si>
  <si>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</si>
  <si>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</si>
  <si>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</si>
  <si>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</si>
  <si>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</si>
  <si>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</si>
  <si>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</si>
  <si>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</si>
  <si>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</si>
  <si>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</si>
  <si>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</si>
  <si>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</si>
  <si>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</si>
  <si>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</si>
  <si>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</si>
  <si>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</si>
  <si>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</si>
  <si>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</si>
  <si>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</si>
  <si>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</si>
  <si>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</si>
  <si>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</si>
  <si>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</si>
  <si>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</si>
  <si>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</si>
  <si>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</si>
  <si>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</si>
  <si>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</si>
  <si>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</si>
  <si>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</si>
  <si>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</si>
  <si>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</si>
  <si>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</si>
  <si>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</si>
  <si>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</si>
  <si>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</si>
  <si>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</si>
  <si>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</si>
  <si>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</si>
  <si>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</si>
  <si>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</si>
  <si>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</si>
  <si>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</si>
  <si>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</si>
  <si>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</si>
  <si>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</si>
  <si>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</si>
  <si>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</si>
  <si>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</si>
  <si>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</si>
  <si>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</si>
  <si>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</si>
  <si>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</si>
  <si>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</si>
  <si>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</si>
  <si>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</si>
  <si>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</si>
  <si>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</si>
  <si>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</si>
  <si>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</si>
  <si>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</si>
  <si>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</si>
  <si>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</si>
  <si>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</si>
  <si>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</si>
  <si>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</si>
  <si>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</si>
  <si>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</si>
  <si>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</si>
  <si>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</si>
  <si>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</si>
  <si>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</si>
  <si>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</si>
  <si>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</si>
  <si>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</si>
  <si>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</si>
  <si>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</si>
  <si>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</si>
  <si>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</si>
  <si>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</si>
  <si>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</si>
  <si>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</si>
  <si>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</si>
  <si>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</si>
  <si>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</si>
  <si>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</si>
  <si>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</si>
  <si>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</si>
  <si>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</si>
  <si>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</si>
  <si>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</si>
  <si>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</si>
  <si>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</si>
  <si>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</si>
  <si>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</si>
  <si>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</si>
  <si>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</si>
  <si>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</si>
  <si>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</si>
  <si>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</si>
  <si>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</si>
  <si>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</si>
  <si>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</si>
  <si>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</si>
  <si>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</si>
  <si>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</si>
  <si>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</si>
  <si>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</si>
  <si>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</si>
  <si>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</si>
  <si>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</si>
  <si>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</si>
  <si>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</si>
  <si>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</si>
  <si>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</si>
  <si>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</si>
  <si>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</si>
  <si>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</si>
  <si>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</si>
  <si>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</si>
  <si>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</si>
  <si>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</si>
  <si>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</si>
  <si>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</si>
  <si>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</si>
  <si>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</si>
  <si>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</si>
  <si>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</si>
  <si>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</si>
  <si>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</si>
  <si>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</si>
  <si>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</si>
  <si>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</si>
  <si>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</si>
  <si>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</si>
  <si>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</si>
  <si>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</si>
  <si>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</si>
  <si>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</si>
  <si>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</si>
  <si>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</si>
  <si>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</si>
  <si>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</si>
  <si>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</si>
  <si>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</si>
  <si>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</si>
  <si>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</si>
  <si>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</si>
  <si>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</si>
  <si>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</si>
  <si>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</si>
  <si>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</si>
  <si>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</si>
  <si>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</si>
  <si>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</si>
  <si>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</si>
  <si>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</si>
  <si>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</si>
  <si>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</si>
  <si>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</si>
  <si>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</si>
  <si>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</si>
  <si>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</si>
  <si>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</si>
  <si>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</si>
  <si>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</si>
  <si>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</si>
  <si>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</si>
  <si>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</si>
  <si>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</si>
  <si>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</si>
  <si>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</si>
  <si>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</si>
  <si>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</si>
  <si>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</si>
  <si>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</si>
  <si>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</si>
  <si>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</si>
  <si>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</si>
  <si>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</si>
  <si>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</si>
  <si>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</si>
  <si>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</si>
  <si>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</si>
  <si>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</si>
  <si>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</si>
  <si>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</si>
  <si>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</si>
  <si>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</si>
  <si>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</si>
  <si>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</si>
  <si>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</si>
  <si>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</si>
  <si>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</si>
  <si>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</si>
  <si>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</si>
  <si>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</si>
  <si>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</si>
  <si>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</si>
  <si>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</si>
  <si>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</si>
  <si>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</si>
  <si>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</si>
  <si>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</si>
  <si>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</si>
  <si>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</si>
  <si>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</si>
  <si>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</si>
  <si>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</si>
  <si>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</si>
  <si>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</si>
  <si>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</si>
  <si>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</si>
  <si>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</si>
  <si>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</si>
  <si>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</si>
  <si>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</si>
  <si>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</si>
  <si>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</si>
  <si>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</si>
  <si>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</si>
  <si>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</si>
  <si>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</si>
  <si>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</si>
  <si>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</si>
  <si>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</si>
  <si>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</si>
  <si>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</si>
  <si>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</si>
  <si>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</si>
  <si>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</si>
  <si>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</si>
  <si>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</si>
  <si>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</si>
  <si>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</si>
  <si>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</si>
  <si>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</si>
  <si>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</si>
  <si>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</si>
  <si>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</si>
  <si>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</si>
  <si>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</si>
  <si>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</si>
  <si>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</si>
  <si>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</si>
  <si>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</si>
  <si>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</si>
  <si>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</si>
  <si>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</si>
  <si>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</si>
  <si>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</si>
  <si>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</si>
  <si>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</si>
  <si>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</si>
  <si>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</si>
  <si>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</si>
  <si>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</si>
  <si>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</si>
  <si>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</si>
  <si>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</si>
  <si>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</si>
  <si>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</si>
  <si>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</si>
  <si>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</si>
  <si>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</si>
  <si>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</si>
  <si>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</si>
  <si>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</si>
  <si>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</si>
  <si>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</si>
  <si>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</si>
  <si>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</si>
  <si>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</si>
  <si>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</si>
  <si>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</si>
  <si>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</si>
  <si>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</si>
  <si>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</si>
  <si>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</si>
  <si>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</si>
  <si>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</si>
  <si>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</si>
  <si>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</si>
  <si>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</si>
  <si>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</si>
  <si>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</si>
  <si>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</si>
  <si>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</si>
  <si>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</si>
  <si>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</si>
  <si>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</si>
  <si>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</si>
  <si>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</si>
  <si>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</si>
  <si>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</si>
  <si>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</si>
  <si>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</si>
  <si>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</si>
  <si>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</si>
  <si>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</si>
  <si>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</si>
  <si>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</si>
  <si>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</si>
  <si>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</si>
  <si>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</si>
  <si>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</si>
  <si>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</si>
  <si>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</si>
  <si>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</si>
  <si>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</si>
  <si>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</si>
  <si>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</si>
  <si>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</si>
  <si>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</si>
  <si>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</si>
  <si>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</si>
  <si>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</si>
  <si>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</si>
  <si>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</si>
  <si>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</si>
  <si>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</si>
  <si>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</si>
  <si>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</si>
  <si>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</si>
  <si>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</si>
  <si>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</si>
  <si>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</si>
  <si>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</si>
  <si>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</si>
  <si>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</si>
  <si>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</si>
  <si>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</si>
  <si>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</si>
  <si>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</si>
  <si>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</si>
  <si>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</si>
  <si>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</si>
  <si>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</si>
  <si>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</si>
  <si>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</si>
  <si>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</si>
  <si>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</si>
  <si>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</si>
  <si>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</si>
  <si>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</si>
  <si>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</si>
  <si>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</si>
  <si>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</si>
  <si>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</si>
  <si>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</si>
  <si>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</si>
  <si>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</si>
  <si>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</si>
  <si>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</si>
  <si>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</si>
  <si>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</si>
  <si>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</si>
  <si>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</si>
  <si>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</si>
  <si>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</si>
  <si>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</si>
  <si>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</si>
  <si>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</si>
  <si>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</si>
  <si>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</si>
  <si>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</si>
  <si>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</si>
  <si>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</si>
  <si>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</si>
  <si>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</si>
  <si>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</si>
  <si>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</si>
  <si>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</si>
  <si>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</si>
  <si>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</si>
  <si>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</si>
  <si>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</si>
  <si>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</si>
  <si>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</si>
  <si>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</si>
  <si>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</si>
  <si>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</si>
  <si>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</si>
  <si>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</si>
  <si>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</si>
  <si>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</si>
  <si>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</si>
  <si>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</si>
  <si>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</si>
  <si>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</si>
  <si>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</si>
  <si>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</si>
  <si>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</si>
  <si>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</si>
  <si>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</si>
  <si>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</si>
  <si>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</si>
  <si>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</si>
  <si>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</si>
  <si>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</si>
  <si>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</si>
  <si>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</si>
  <si>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</si>
  <si>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</si>
  <si>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</si>
  <si>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</si>
  <si>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</si>
  <si>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</si>
  <si>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</si>
  <si>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</si>
  <si>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</si>
  <si>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</si>
  <si>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</si>
  <si>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</si>
  <si>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</si>
  <si>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</si>
  <si>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</si>
  <si>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</si>
  <si>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</si>
  <si>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</si>
  <si>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</si>
  <si>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</si>
  <si>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</si>
  <si>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</si>
  <si>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</si>
  <si>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</si>
  <si>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</si>
  <si>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</si>
  <si>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</si>
  <si>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</si>
  <si>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</si>
  <si>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</si>
  <si>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</si>
  <si>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</si>
  <si>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</si>
  <si>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</si>
  <si>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</si>
  <si>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</si>
  <si>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</si>
  <si>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</si>
  <si>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</si>
  <si>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</si>
  <si>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</si>
  <si>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</si>
  <si>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</si>
  <si>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</si>
  <si>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</si>
  <si>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</si>
  <si>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</si>
  <si>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</si>
  <si>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</si>
  <si>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</si>
  <si>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</si>
  <si>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</si>
  <si>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</si>
  <si>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</si>
  <si>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</si>
  <si>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</si>
  <si>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</si>
  <si>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</si>
  <si>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</si>
  <si>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</si>
  <si>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</si>
  <si>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</si>
  <si>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</si>
  <si>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</si>
  <si>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</si>
  <si>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</si>
  <si>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</si>
  <si>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</si>
  <si>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</si>
  <si>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</si>
  <si>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</si>
  <si>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</si>
  <si>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</si>
  <si>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</si>
  <si>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</si>
  <si>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</si>
  <si>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</si>
  <si>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</si>
  <si>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</si>
  <si>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</si>
  <si>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</si>
  <si>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</si>
  <si>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</si>
  <si>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</si>
  <si>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</si>
  <si>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</si>
  <si>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</si>
  <si>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</si>
  <si>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</si>
  <si>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</si>
  <si>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</si>
  <si>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</si>
  <si>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</si>
  <si>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</si>
  <si>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</si>
  <si>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</si>
  <si>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</si>
  <si>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</si>
  <si>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</si>
  <si>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</si>
  <si>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</si>
  <si>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</si>
  <si>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</si>
  <si>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</si>
  <si>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</si>
  <si>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</si>
  <si>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</si>
  <si>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</si>
  <si>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</si>
  <si>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</si>
  <si>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</si>
  <si>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</si>
  <si>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</si>
  <si>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</si>
  <si>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</si>
  <si>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</si>
  <si>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</si>
  <si>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</si>
  <si>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</si>
  <si>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</si>
  <si>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</si>
  <si>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</si>
  <si>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</si>
  <si>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</si>
  <si>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</si>
  <si>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</si>
  <si>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</si>
  <si>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</si>
  <si>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</si>
  <si>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</si>
  <si>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</si>
  <si>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</si>
  <si>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</si>
  <si>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</si>
  <si>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</si>
  <si>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</si>
  <si>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</si>
  <si>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</si>
  <si>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</si>
  <si>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</si>
  <si>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</si>
  <si>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</si>
  <si>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</si>
  <si>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</si>
  <si>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</si>
  <si>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</si>
  <si>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</si>
  <si>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</si>
  <si>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</si>
  <si>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</si>
  <si>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</si>
  <si>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</si>
  <si>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</si>
  <si>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</si>
  <si>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</si>
  <si>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</si>
  <si>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</si>
  <si>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</si>
  <si>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</si>
  <si>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</si>
  <si>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</si>
  <si>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</si>
  <si>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</si>
  <si>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</si>
  <si>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</si>
  <si>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</si>
  <si>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</si>
  <si>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</si>
  <si>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</si>
  <si>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</si>
  <si>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</si>
  <si>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</si>
  <si>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</si>
  <si>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</si>
  <si>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</si>
  <si>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</si>
  <si>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</si>
  <si>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</si>
  <si>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</si>
  <si>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</si>
  <si>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</si>
  <si>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</si>
  <si>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</si>
  <si>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</si>
  <si>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</si>
  <si>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</si>
  <si>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</si>
  <si>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</si>
  <si>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</si>
  <si>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</si>
  <si>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</si>
  <si>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</si>
  <si>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</si>
  <si>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</si>
  <si>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</si>
  <si>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</si>
  <si>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</si>
  <si>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</si>
  <si>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</si>
  <si>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</si>
  <si>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</si>
  <si>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</si>
  <si>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</si>
  <si>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</si>
  <si>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</si>
  <si>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</si>
  <si>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</si>
  <si>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</si>
  <si>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</si>
  <si>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</si>
  <si>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</si>
  <si>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</si>
  <si>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</si>
  <si>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</si>
  <si>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</si>
  <si>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</si>
  <si>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</si>
  <si>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</si>
  <si>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</si>
  <si>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</si>
  <si>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</si>
  <si>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</si>
  <si>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</si>
  <si>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</si>
  <si>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</si>
  <si>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</si>
  <si>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</si>
  <si>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</si>
  <si>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</si>
  <si>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</si>
  <si>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</si>
  <si>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</si>
  <si>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</si>
  <si>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</si>
  <si>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</si>
  <si>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</si>
  <si>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</si>
  <si>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</si>
  <si>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</si>
  <si>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</si>
  <si>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</si>
  <si>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</si>
  <si>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</si>
  <si>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</si>
  <si>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</si>
  <si>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</si>
  <si>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</si>
  <si>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</si>
  <si>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</si>
  <si>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</si>
  <si>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</si>
  <si>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</si>
  <si>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</si>
  <si>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</si>
  <si>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</si>
  <si>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</si>
  <si>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</si>
  <si>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</si>
  <si>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</si>
  <si>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</si>
  <si>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</si>
  <si>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</si>
  <si>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</si>
  <si>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</si>
  <si>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</si>
  <si>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</si>
  <si>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</si>
  <si>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</si>
  <si>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</si>
  <si>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</si>
  <si>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</si>
  <si>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</si>
  <si>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</si>
  <si>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</si>
  <si>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</si>
  <si>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</si>
  <si>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</si>
  <si>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</si>
  <si>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</si>
  <si>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</si>
  <si>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</si>
  <si>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</si>
  <si>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</si>
  <si>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</si>
  <si>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</si>
  <si>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</si>
  <si>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</si>
  <si>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</si>
  <si>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</si>
  <si>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</si>
  <si>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</si>
  <si>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</si>
  <si>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</si>
  <si>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</si>
  <si>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</si>
  <si>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</si>
  <si>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</si>
  <si>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</si>
  <si>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</si>
  <si>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</si>
  <si>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</si>
  <si>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</si>
  <si>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</si>
  <si>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</si>
  <si>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</si>
  <si>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</si>
  <si>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</si>
  <si>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</si>
  <si>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</si>
  <si>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</si>
  <si>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</si>
  <si>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</si>
  <si>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</si>
  <si>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</si>
  <si>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</si>
  <si>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</si>
  <si>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</si>
  <si>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</si>
  <si>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</si>
  <si>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</si>
  <si>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</si>
  <si>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</si>
  <si>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</si>
  <si>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</si>
  <si>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</si>
  <si>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</si>
  <si>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</si>
  <si>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</si>
  <si>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</si>
  <si>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</si>
  <si>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</si>
  <si>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</si>
  <si>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</si>
  <si>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</si>
  <si>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</si>
  <si>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</si>
  <si>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</si>
  <si>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</si>
  <si>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</si>
  <si>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</si>
  <si>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</si>
  <si>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</si>
  <si>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</si>
  <si>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</si>
  <si>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</si>
  <si>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</si>
  <si>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</si>
  <si>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</si>
  <si>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</si>
  <si>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</si>
  <si>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</si>
  <si>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</si>
  <si>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</si>
  <si>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</si>
  <si>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</si>
  <si>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</si>
  <si>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</si>
  <si>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</si>
  <si>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</si>
  <si>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</si>
  <si>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</si>
  <si>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</si>
  <si>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</si>
  <si>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</si>
  <si>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</si>
  <si>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</si>
  <si>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</si>
  <si>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</si>
  <si>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</si>
  <si>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</si>
  <si>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</si>
  <si>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</si>
  <si>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</si>
  <si>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</si>
  <si>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</si>
  <si>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</si>
  <si>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</si>
  <si>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</si>
  <si>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</si>
  <si>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</si>
  <si>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</si>
  <si>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</si>
  <si>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</si>
  <si>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</si>
  <si>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</si>
  <si>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</si>
  <si>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</si>
  <si>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</si>
  <si>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</si>
  <si>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</si>
  <si>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</si>
  <si>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</si>
  <si>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</si>
  <si>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</si>
  <si>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</si>
  <si>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</si>
  <si>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</si>
  <si>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</si>
  <si>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</si>
  <si>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</si>
  <si>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</si>
  <si>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</si>
  <si>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</si>
  <si>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</si>
  <si>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</si>
  <si>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</si>
  <si>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</si>
  <si>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</si>
  <si>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</si>
  <si>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</si>
  <si>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</si>
  <si>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</si>
  <si>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</si>
  <si>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</si>
  <si>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</si>
  <si>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</si>
  <si>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</si>
  <si>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</si>
  <si>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</si>
  <si>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</si>
  <si>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</si>
  <si>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</si>
  <si>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</si>
  <si>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</si>
  <si>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</si>
  <si>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</si>
  <si>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</si>
  <si>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</si>
  <si>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</si>
  <si>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</si>
  <si>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</si>
  <si>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</si>
  <si>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</si>
  <si>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</si>
  <si>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</si>
  <si>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</si>
  <si>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</si>
  <si>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</si>
  <si>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</si>
  <si>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</si>
  <si>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</si>
  <si>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</si>
  <si>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</si>
  <si>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</si>
  <si>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</si>
  <si>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</si>
  <si>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</si>
  <si>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</si>
  <si>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</si>
  <si>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</si>
  <si>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</si>
  <si>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</si>
  <si>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</si>
  <si>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</si>
  <si>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</si>
  <si>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</si>
  <si>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</si>
  <si>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</si>
  <si>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</si>
  <si>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</si>
  <si>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</si>
  <si>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</si>
  <si>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</si>
  <si>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</si>
  <si>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</si>
  <si>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</si>
  <si>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</si>
  <si>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</si>
  <si>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</si>
  <si>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</si>
  <si>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</si>
  <si>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</si>
  <si>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</si>
  <si>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</si>
  <si>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</si>
  <si>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</si>
  <si>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</si>
  <si>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</si>
  <si>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</si>
  <si>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</si>
  <si>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</si>
  <si>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</si>
  <si>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</si>
  <si>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</si>
  <si>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</si>
  <si>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</si>
  <si>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</si>
  <si>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</si>
  <si>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</si>
  <si>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</si>
  <si>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</si>
  <si>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</si>
  <si>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</si>
  <si>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</si>
  <si>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</si>
  <si>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</si>
  <si>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</si>
  <si>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</si>
  <si>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</si>
  <si>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</si>
  <si>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</si>
  <si>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</si>
  <si>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</si>
  <si>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</si>
  <si>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</si>
  <si>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</si>
  <si>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</si>
  <si>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</si>
  <si>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</si>
  <si>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</si>
  <si>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</si>
  <si>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</si>
  <si>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</si>
  <si>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</si>
  <si>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</si>
  <si>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</si>
  <si>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</si>
  <si>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</si>
  <si>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</si>
  <si>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</si>
  <si>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</si>
  <si>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</si>
  <si>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</si>
  <si>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</si>
  <si>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</si>
  <si>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</si>
  <si>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</si>
  <si>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</si>
  <si>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</si>
  <si>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</si>
  <si>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</si>
  <si>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</si>
  <si>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</si>
  <si>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</si>
  <si>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</si>
  <si>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</si>
  <si>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</si>
  <si>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</si>
  <si>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</si>
  <si>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</si>
  <si>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</si>
  <si>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</si>
  <si>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</si>
  <si>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</si>
  <si>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</si>
  <si>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</si>
  <si>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</si>
  <si>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</si>
  <si>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</si>
  <si>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</si>
  <si>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</si>
  <si>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</si>
  <si>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</si>
  <si>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</si>
  <si>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</si>
  <si>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</si>
  <si>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</si>
  <si>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</si>
  <si>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</si>
  <si>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</si>
  <si>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</si>
  <si>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</si>
  <si>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</si>
  <si>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</si>
  <si>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</si>
  <si>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</si>
  <si>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</si>
  <si>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</si>
  <si>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</si>
  <si>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</si>
  <si>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</si>
  <si>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</si>
  <si>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</si>
  <si>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</si>
  <si>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</si>
  <si>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</si>
  <si>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</si>
  <si>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</si>
  <si>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</si>
  <si>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</si>
  <si>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</si>
  <si>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</si>
  <si>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</si>
  <si>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</si>
  <si>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</si>
  <si>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</si>
  <si>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</si>
  <si>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</si>
  <si>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</si>
  <si>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</si>
  <si>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</si>
  <si>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</si>
  <si>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</si>
  <si>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</si>
  <si>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</si>
  <si>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</si>
  <si>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</si>
  <si>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</si>
  <si>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</si>
  <si>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</si>
  <si>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</si>
  <si>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</si>
  <si>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</si>
  <si>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</si>
  <si>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</si>
  <si>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</si>
  <si>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</si>
  <si>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</si>
  <si>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</si>
  <si>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</si>
  <si>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</si>
  <si>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</si>
  <si>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</si>
  <si>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</si>
  <si>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</si>
  <si>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</si>
  <si>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</si>
  <si>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</si>
  <si>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</si>
  <si>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</si>
  <si>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</si>
  <si>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</si>
  <si>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</si>
  <si>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</si>
  <si>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</si>
  <si>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</si>
  <si>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</si>
  <si>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</si>
  <si>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</si>
  <si>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</si>
  <si>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</si>
  <si>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</si>
  <si>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</si>
  <si>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</si>
  <si>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</si>
  <si>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</si>
  <si>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</si>
  <si>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</si>
  <si>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</si>
  <si>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</si>
  <si>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</si>
  <si>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</si>
  <si>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</si>
  <si>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</si>
  <si>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</si>
  <si>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</si>
  <si>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</si>
  <si>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</si>
  <si>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</si>
  <si>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</si>
  <si>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</si>
  <si>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</si>
  <si>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</si>
  <si>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</si>
  <si>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</si>
  <si>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</si>
  <si>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</si>
  <si>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</si>
  <si>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</si>
  <si>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</si>
  <si>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</si>
  <si>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</si>
  <si>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</si>
  <si>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</si>
  <si>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</si>
  <si>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</si>
  <si>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</si>
  <si>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</si>
  <si>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</si>
  <si>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</si>
  <si>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</si>
  <si>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</si>
  <si>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</si>
  <si>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</si>
  <si>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</si>
  <si>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</si>
  <si>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</si>
  <si>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</si>
  <si>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</si>
  <si>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</si>
  <si>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</si>
  <si>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</si>
  <si>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</si>
  <si>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</si>
  <si>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</si>
  <si>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</si>
  <si>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</si>
  <si>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</si>
  <si>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</si>
  <si>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</si>
  <si>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</si>
  <si>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</si>
  <si>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</si>
  <si>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</si>
  <si>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</si>
  <si>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</si>
  <si>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</si>
  <si>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</si>
  <si>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</si>
  <si>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</si>
  <si>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</si>
  <si>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</si>
  <si>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</si>
  <si>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</si>
  <si>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</si>
  <si>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</si>
  <si>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</si>
  <si>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</si>
  <si>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</si>
  <si>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</si>
  <si>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</si>
  <si>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</si>
  <si>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</si>
  <si>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</si>
  <si>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</si>
  <si>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</si>
  <si>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</si>
  <si>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</si>
  <si>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</si>
  <si>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</si>
  <si>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</si>
  <si>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</si>
  <si>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</si>
  <si>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</si>
  <si>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</si>
  <si>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</si>
  <si>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</si>
  <si>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</si>
  <si>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</si>
  <si>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</si>
  <si>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</si>
  <si>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</si>
  <si>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</si>
  <si>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</si>
  <si>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</si>
  <si>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</si>
  <si>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</si>
  <si>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</si>
  <si>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</si>
  <si>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</si>
  <si>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</si>
  <si>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</si>
  <si>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</si>
  <si>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</si>
  <si>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</si>
  <si>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</si>
  <si>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</si>
  <si>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</si>
  <si>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</si>
  <si>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</si>
  <si>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</si>
  <si>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</si>
  <si>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</si>
  <si>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</si>
  <si>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</si>
  <si>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</si>
  <si>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</si>
  <si>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</si>
  <si>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</si>
  <si>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</si>
  <si>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</si>
  <si>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</si>
  <si>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</si>
  <si>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</si>
  <si>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</si>
  <si>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</si>
  <si>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</si>
  <si>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</si>
  <si>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</si>
  <si>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</si>
  <si>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</si>
  <si>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</si>
  <si>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</si>
  <si>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</si>
  <si>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</si>
  <si>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</si>
  <si>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</si>
  <si>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</si>
  <si>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</si>
  <si>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</si>
  <si>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</si>
  <si>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</si>
  <si>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</si>
  <si>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</si>
  <si>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</si>
  <si>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</si>
  <si>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</si>
  <si>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</si>
  <si>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</si>
  <si>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</si>
  <si>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</si>
  <si>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</si>
  <si>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</si>
  <si>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</si>
  <si>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</si>
  <si>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</si>
  <si>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</si>
  <si>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</si>
  <si>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</si>
  <si>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</si>
  <si>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</si>
  <si>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</si>
  <si>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</si>
  <si>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</si>
  <si>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</si>
  <si>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</si>
  <si>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</si>
  <si>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</si>
  <si>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</si>
  <si>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</si>
  <si>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</si>
  <si>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</si>
  <si>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</si>
  <si>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</si>
  <si>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</si>
  <si>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</si>
  <si>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</si>
  <si>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</si>
  <si>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</si>
  <si>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</si>
  <si>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</si>
  <si>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</si>
  <si>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</si>
  <si>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</si>
  <si>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</si>
  <si>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</si>
  <si>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</si>
  <si>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</si>
  <si>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</si>
  <si>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</si>
  <si>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</si>
  <si>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</si>
  <si>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</si>
  <si>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</si>
  <si>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</si>
  <si>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</si>
  <si>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</si>
  <si>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</si>
  <si>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</si>
  <si>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</si>
  <si>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</si>
  <si>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</si>
  <si>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</si>
  <si>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</si>
  <si>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</si>
  <si>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</si>
  <si>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</si>
  <si>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</si>
  <si>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</si>
  <si>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</si>
  <si>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</si>
  <si>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</si>
  <si>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</si>
  <si>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</si>
  <si>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</si>
  <si>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</si>
  <si>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</si>
  <si>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</si>
  <si>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</si>
  <si>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</si>
  <si>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</si>
  <si>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</si>
  <si>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</si>
  <si>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</si>
  <si>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</si>
  <si>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</si>
  <si>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</si>
  <si>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</si>
  <si>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</si>
  <si>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</si>
  <si>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</si>
  <si>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</si>
  <si>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</si>
  <si>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</si>
  <si>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</si>
  <si>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</si>
  <si>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</si>
  <si>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</si>
  <si>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</si>
  <si>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</si>
  <si>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</si>
  <si>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</si>
  <si>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</si>
  <si>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</si>
  <si>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</si>
  <si>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</si>
  <si>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</si>
  <si>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</si>
  <si>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</si>
  <si>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</si>
  <si>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</si>
  <si>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</si>
  <si>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</si>
  <si>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</si>
  <si>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</si>
  <si>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</si>
  <si>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</si>
  <si>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</si>
  <si>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</si>
  <si>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</si>
  <si>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</si>
  <si>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</si>
  <si>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</si>
  <si>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</si>
  <si>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</si>
  <si>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</si>
  <si>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</si>
  <si>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</si>
  <si>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</si>
  <si>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</si>
  <si>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</si>
  <si>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</si>
  <si>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</si>
  <si>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</si>
  <si>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</si>
  <si>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</si>
  <si>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</si>
  <si>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</si>
  <si>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</si>
  <si>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</si>
  <si>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</si>
  <si>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</si>
  <si>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</si>
  <si>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</si>
  <si>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</si>
  <si>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</si>
  <si>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</si>
  <si>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</si>
  <si>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</si>
  <si>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</si>
  <si>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</si>
  <si>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</si>
  <si>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</si>
  <si>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</si>
  <si>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</si>
  <si>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</si>
  <si>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</si>
  <si>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</si>
  <si>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</si>
  <si>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</si>
  <si>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</si>
  <si>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</si>
  <si>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</si>
  <si>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</si>
  <si>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</si>
  <si>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</si>
  <si>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</si>
  <si>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</si>
  <si>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</si>
  <si>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</si>
  <si>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</si>
  <si>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</si>
  <si>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</si>
  <si>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</si>
  <si>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</si>
  <si>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</si>
  <si>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</si>
  <si>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</si>
  <si>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</si>
  <si>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</si>
  <si>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</si>
  <si>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</si>
  <si>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</si>
  <si>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</si>
  <si>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</si>
  <si>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</si>
  <si>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</si>
  <si>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</si>
  <si>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</si>
  <si>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</si>
  <si>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</si>
  <si>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</si>
  <si>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</si>
  <si>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</si>
  <si>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</si>
  <si>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</si>
  <si>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</si>
  <si>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</si>
  <si>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</si>
  <si>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</si>
  <si>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</si>
  <si>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</si>
  <si>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</si>
  <si>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</si>
  <si>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</si>
  <si>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</si>
  <si>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</si>
  <si>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</si>
  <si>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</si>
  <si>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</si>
  <si>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</si>
  <si>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</si>
  <si>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</si>
  <si>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</si>
  <si>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</si>
  <si>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</si>
  <si>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</si>
  <si>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</si>
  <si>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</si>
  <si>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</si>
  <si>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</si>
  <si>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</si>
  <si>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</si>
  <si>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</si>
  <si>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</si>
  <si>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</si>
  <si>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</si>
  <si>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</si>
  <si>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</si>
  <si>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</si>
  <si>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</si>
  <si>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</si>
  <si>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</si>
  <si>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</si>
  <si>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</si>
  <si>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</si>
  <si>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</si>
  <si>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</si>
  <si>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</si>
  <si>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</si>
  <si>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</si>
  <si>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</si>
  <si>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</si>
  <si>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</si>
  <si>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</si>
  <si>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</si>
  <si>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</si>
  <si>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</si>
  <si>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</si>
  <si>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</si>
  <si>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</si>
  <si>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</si>
  <si>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</si>
  <si>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</si>
  <si>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</si>
  <si>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</si>
  <si>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</si>
  <si>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</si>
  <si>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</si>
  <si>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</si>
  <si>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</si>
  <si>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</si>
  <si>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</si>
  <si>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</si>
  <si>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</si>
  <si>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</si>
  <si>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</si>
  <si>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</si>
  <si>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</si>
  <si>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</si>
  <si>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</si>
  <si>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</si>
  <si>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</si>
  <si>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</si>
  <si>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</si>
  <si>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</si>
  <si>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</si>
  <si>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</si>
  <si>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</si>
  <si>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</si>
  <si>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</si>
  <si>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</si>
  <si>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</si>
  <si>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</si>
  <si>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</si>
  <si>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</si>
  <si>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</si>
  <si>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</si>
  <si>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</si>
  <si>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</si>
  <si>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</si>
  <si>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</si>
  <si>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</si>
  <si>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</si>
  <si>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</si>
  <si>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</si>
  <si>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</si>
  <si>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</si>
  <si>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</si>
  <si>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</si>
  <si>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</si>
  <si>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</si>
  <si>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</si>
  <si>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</si>
  <si>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</si>
  <si>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</si>
  <si>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</si>
  <si>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</si>
  <si>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</si>
  <si>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</si>
  <si>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</si>
  <si>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</si>
  <si>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</si>
  <si>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</si>
  <si>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</si>
  <si>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</si>
  <si>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</si>
  <si>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</si>
  <si>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</si>
  <si>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</si>
  <si>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</si>
  <si>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</si>
  <si>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</si>
  <si>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</si>
  <si>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</si>
  <si>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</si>
  <si>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</si>
  <si>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</si>
  <si>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</si>
  <si>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</si>
  <si>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</si>
  <si>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</si>
  <si>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</si>
  <si>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</si>
  <si>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</si>
  <si>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</si>
  <si>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</si>
  <si>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</si>
  <si>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</si>
  <si>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</si>
  <si>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</si>
  <si>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</si>
  <si>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</si>
  <si>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</si>
  <si>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</si>
  <si>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</si>
  <si>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</si>
  <si>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</si>
  <si>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</si>
  <si>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</si>
  <si>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</si>
  <si>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</si>
  <si>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</si>
  <si>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</si>
  <si>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</si>
  <si>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</si>
  <si>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</si>
  <si>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</si>
  <si>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</si>
  <si>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</si>
  <si>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</si>
  <si>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</si>
  <si>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</si>
  <si>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</si>
  <si>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</si>
  <si>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</si>
  <si>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</si>
  <si>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</si>
  <si>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</si>
  <si>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</si>
  <si>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</si>
  <si>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</si>
  <si>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</si>
  <si>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</si>
  <si>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</si>
  <si>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</si>
  <si>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</si>
  <si>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</si>
  <si>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</si>
  <si>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</si>
  <si>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</si>
  <si>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</si>
  <si>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</si>
  <si>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</si>
  <si>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</si>
  <si>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</si>
  <si>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</si>
  <si>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</si>
  <si>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</si>
  <si>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</si>
  <si>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</si>
  <si>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</si>
  <si>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</si>
  <si>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</si>
  <si>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</si>
  <si>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</si>
  <si>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</si>
  <si>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</si>
  <si>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</si>
  <si>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</si>
  <si>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</si>
  <si>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</si>
  <si>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</si>
  <si>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</si>
  <si>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</si>
  <si>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</si>
  <si>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</si>
  <si>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</si>
  <si>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</si>
  <si>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</si>
  <si>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</si>
  <si>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</si>
  <si>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</si>
  <si>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</si>
  <si>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</si>
  <si>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</si>
  <si>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</si>
  <si>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</si>
  <si>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</si>
  <si>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</si>
  <si>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</si>
  <si>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</si>
  <si>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</si>
  <si>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</si>
  <si>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</si>
  <si>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</si>
  <si>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</si>
  <si>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</si>
  <si>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</si>
  <si>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</si>
  <si>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</si>
  <si>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</si>
  <si>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</si>
  <si>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</si>
  <si>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</si>
  <si>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</si>
  <si>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</si>
  <si>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</si>
  <si>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</si>
  <si>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</si>
  <si>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</si>
  <si>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</si>
  <si>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</si>
  <si>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</si>
  <si>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</si>
  <si>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</si>
  <si>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</si>
  <si>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</si>
  <si>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</si>
  <si>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</si>
  <si>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</si>
  <si>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</si>
  <si>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</si>
  <si>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</si>
  <si>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</si>
  <si>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</si>
  <si>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</si>
  <si>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</si>
  <si>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</si>
  <si>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</si>
  <si>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</si>
  <si>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</si>
  <si>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</si>
  <si>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</si>
  <si>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</si>
  <si>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</si>
  <si>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</si>
  <si>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</si>
  <si>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</si>
  <si>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</si>
  <si>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</si>
  <si>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</si>
  <si>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</si>
  <si>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</si>
  <si>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</si>
  <si>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</si>
  <si>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</si>
  <si>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</si>
  <si>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</si>
  <si>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</si>
  <si>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</si>
  <si>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</si>
  <si>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</si>
  <si>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</si>
  <si>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</si>
  <si>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</si>
  <si>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</si>
  <si>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</si>
  <si>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</si>
  <si>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</si>
  <si>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</si>
  <si>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</si>
  <si>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</si>
  <si>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</si>
  <si>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</si>
  <si>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</si>
  <si>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</si>
  <si>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</si>
  <si>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</si>
  <si>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</si>
  <si>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</si>
  <si>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</si>
  <si>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</si>
  <si>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</si>
  <si>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</si>
  <si>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</si>
  <si>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</si>
  <si>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</si>
  <si>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</si>
  <si>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</si>
  <si>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</si>
  <si>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</si>
  <si>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</si>
  <si>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</si>
  <si>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</si>
  <si>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</si>
  <si>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</si>
  <si>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</si>
  <si>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</si>
  <si>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</si>
  <si>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</si>
  <si>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</si>
  <si>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</si>
  <si>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</si>
  <si>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</si>
  <si>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</si>
  <si>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</si>
  <si>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</si>
  <si>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</si>
  <si>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</si>
  <si>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</si>
  <si>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</si>
  <si>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</si>
  <si>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</si>
  <si>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</si>
  <si>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</si>
  <si>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</si>
  <si>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</si>
  <si>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</si>
  <si>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</si>
  <si>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</si>
  <si>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</si>
  <si>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</si>
  <si>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</si>
  <si>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</si>
  <si>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</si>
  <si>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</si>
  <si>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</si>
  <si>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</si>
  <si>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</si>
  <si>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</si>
  <si>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</si>
  <si>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</si>
  <si>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</si>
  <si>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</si>
  <si>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</si>
  <si>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</si>
  <si>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</si>
  <si>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</si>
  <si>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</si>
  <si>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</si>
  <si>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</si>
  <si>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</si>
  <si>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</si>
  <si>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</si>
  <si>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</si>
  <si>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</si>
  <si>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</si>
  <si>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</si>
  <si>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</si>
  <si>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</si>
  <si>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</si>
  <si>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</si>
  <si>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</si>
  <si>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</si>
  <si>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</si>
  <si>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</si>
  <si>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</si>
  <si>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</si>
  <si>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</si>
  <si>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</si>
  <si>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</si>
  <si>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</si>
  <si>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</si>
  <si>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</si>
  <si>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</si>
  <si>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</si>
  <si>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</si>
  <si>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</si>
  <si>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</si>
  <si>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</si>
  <si>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</si>
  <si>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</si>
  <si>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</si>
  <si>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</si>
  <si>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</si>
  <si>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</si>
  <si>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</si>
  <si>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</si>
  <si>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</si>
  <si>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</si>
  <si>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</si>
  <si>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</si>
  <si>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</si>
  <si>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</si>
  <si>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</si>
  <si>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</si>
  <si>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</si>
  <si>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</si>
  <si>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</si>
  <si>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</si>
  <si>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</si>
  <si>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</si>
  <si>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</si>
  <si>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</si>
  <si>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</si>
  <si>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</si>
  <si>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</si>
  <si>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</si>
  <si>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</si>
  <si>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</si>
  <si>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</si>
  <si>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</si>
  <si>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</si>
  <si>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</si>
  <si>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</si>
  <si>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</si>
  <si>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</si>
  <si>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</si>
  <si>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</si>
  <si>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</si>
  <si>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</si>
  <si>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</si>
  <si>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</si>
  <si>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</si>
  <si>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</si>
  <si>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</si>
  <si>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</si>
  <si>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</si>
  <si>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</si>
  <si>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</si>
  <si>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</si>
  <si>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</si>
  <si>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</si>
  <si>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</si>
  <si>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</si>
  <si>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</si>
  <si>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</si>
  <si>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</si>
  <si>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</si>
  <si>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</si>
  <si>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</si>
  <si>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</si>
  <si>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</si>
  <si>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</si>
  <si>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</si>
  <si>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</si>
  <si>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</si>
  <si>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</si>
  <si>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</si>
  <si>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</si>
  <si>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</si>
  <si>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</si>
  <si>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</si>
  <si>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</si>
  <si>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</si>
  <si>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</si>
  <si>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</si>
  <si>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</si>
  <si>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</si>
  <si>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</si>
  <si>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</si>
  <si>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</si>
  <si>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</si>
  <si>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</si>
  <si>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</si>
  <si>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</si>
  <si>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</si>
  <si>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</si>
  <si>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</si>
  <si>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</si>
  <si>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</si>
  <si>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</si>
  <si>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</si>
  <si>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</si>
  <si>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</si>
  <si>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</si>
  <si>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</si>
  <si>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</si>
  <si>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</si>
  <si>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</si>
  <si>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</si>
  <si>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</si>
  <si>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</si>
  <si>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</si>
  <si>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</si>
  <si>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</si>
  <si>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</si>
  <si>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</si>
  <si>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</si>
  <si>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</si>
  <si>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</si>
  <si>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</si>
  <si>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</si>
  <si>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</si>
  <si>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</si>
  <si>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</si>
  <si>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</si>
  <si>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</si>
  <si>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</si>
  <si>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</si>
  <si>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</si>
  <si>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</si>
  <si>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</si>
  <si>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</si>
  <si>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</si>
  <si>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</si>
  <si>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</si>
  <si>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</si>
  <si>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</si>
  <si>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</si>
  <si>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</si>
  <si>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</si>
  <si>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</si>
  <si>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</si>
  <si>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</si>
  <si>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</si>
  <si>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</si>
  <si>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</si>
  <si>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</si>
  <si>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</si>
  <si>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</si>
  <si>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</si>
  <si>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</si>
  <si>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</si>
  <si>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</si>
  <si>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</si>
  <si>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</si>
  <si>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</si>
  <si>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</si>
  <si>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</si>
  <si>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</si>
  <si>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</si>
  <si>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</si>
  <si>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</si>
  <si>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</si>
  <si>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</si>
  <si>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</si>
  <si>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</si>
  <si>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</si>
  <si>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</si>
  <si>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</si>
  <si>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</si>
  <si>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</si>
  <si>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</si>
  <si>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</si>
  <si>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</si>
  <si>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</si>
  <si>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</si>
  <si>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</si>
  <si>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</si>
  <si>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</si>
  <si>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</si>
  <si>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</si>
  <si>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</si>
  <si>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</si>
  <si>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</si>
  <si>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</si>
  <si>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</si>
  <si>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</si>
  <si>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</si>
  <si>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</si>
  <si>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</si>
  <si>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</si>
  <si>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</si>
  <si>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</si>
  <si>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</si>
  <si>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</si>
  <si>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</si>
  <si>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</si>
  <si>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</si>
  <si>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</si>
  <si>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</si>
  <si>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</si>
  <si>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</si>
  <si>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</si>
  <si>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</si>
  <si>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</si>
  <si>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</si>
  <si>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</si>
  <si>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</si>
  <si>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</si>
  <si>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</si>
  <si>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</si>
  <si>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</si>
  <si>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</si>
  <si>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</si>
  <si>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</si>
  <si>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</si>
  <si>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</si>
  <si>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</si>
  <si>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</si>
  <si>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</si>
  <si>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</si>
  <si>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</si>
  <si>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</si>
  <si>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</si>
  <si>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</si>
  <si>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</si>
  <si>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</si>
  <si>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</si>
  <si>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</si>
  <si>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</si>
  <si>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</si>
  <si>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</si>
  <si>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</si>
  <si>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</si>
  <si>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</si>
  <si>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</si>
  <si>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</si>
  <si>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</si>
  <si>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</si>
  <si>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</si>
  <si>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</si>
  <si>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</si>
  <si>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</si>
  <si>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</si>
  <si>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</si>
  <si>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</si>
  <si>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</si>
  <si>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</si>
  <si>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</si>
  <si>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</si>
  <si>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</si>
  <si>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</si>
  <si>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</si>
  <si>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</si>
  <si>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</si>
  <si>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</si>
  <si>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</si>
  <si>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</si>
  <si>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</si>
  <si>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</si>
  <si>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</si>
  <si>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</si>
  <si>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</si>
  <si>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</si>
  <si>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</si>
  <si>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</si>
  <si>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</si>
  <si>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</si>
  <si>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</si>
  <si>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</si>
  <si>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</si>
  <si>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</si>
  <si>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</si>
  <si>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</si>
  <si>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</si>
  <si>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</si>
  <si>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</si>
  <si>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</si>
  <si>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</si>
  <si>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</si>
  <si>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</si>
  <si>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</si>
  <si>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</si>
  <si>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</si>
  <si>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</si>
  <si>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</si>
  <si>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</si>
  <si>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</si>
  <si>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</si>
  <si>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</si>
  <si>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</si>
  <si>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</si>
  <si>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</si>
  <si>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</si>
  <si>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</si>
  <si>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</si>
  <si>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</si>
  <si>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</si>
  <si>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</si>
  <si>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</si>
  <si>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</si>
  <si>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</si>
  <si>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</si>
  <si>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</si>
  <si>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</si>
  <si>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</si>
  <si>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</si>
  <si>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</si>
  <si>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</si>
  <si>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</si>
  <si>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</si>
  <si>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</si>
  <si>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</si>
  <si>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</si>
  <si>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</si>
  <si>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</si>
  <si>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</si>
  <si>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</si>
  <si>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</si>
  <si>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</si>
  <si>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</si>
  <si>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</si>
  <si>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</si>
  <si>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</si>
  <si>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</si>
  <si>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</si>
  <si>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</si>
  <si>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</si>
  <si>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</si>
  <si>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</si>
  <si>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</si>
  <si>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</si>
  <si>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</si>
  <si>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</si>
  <si>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</si>
  <si>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</si>
  <si>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</si>
  <si>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</si>
  <si>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</si>
  <si>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</si>
  <si>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</si>
  <si>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</si>
  <si>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</si>
  <si>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</si>
  <si>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</si>
  <si>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</si>
  <si>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</si>
  <si>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</si>
  <si>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</si>
  <si>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</si>
  <si>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</si>
  <si>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</si>
  <si>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</si>
  <si>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</si>
  <si>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</si>
  <si>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</si>
  <si>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</si>
  <si>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</si>
  <si>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</si>
  <si>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</si>
  <si>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</si>
  <si>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</si>
  <si>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</si>
  <si>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</si>
  <si>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</si>
  <si>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</si>
  <si>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</si>
  <si>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</si>
  <si>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</si>
  <si>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</si>
  <si>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</si>
  <si>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</si>
  <si>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</si>
  <si>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</si>
  <si>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</si>
  <si>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</si>
  <si>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</si>
  <si>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</si>
  <si>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</si>
  <si>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</si>
  <si>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</si>
  <si>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</si>
  <si>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</si>
  <si>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</si>
  <si>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</si>
  <si>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</si>
  <si>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</si>
  <si>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</si>
  <si>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</si>
  <si>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</si>
  <si>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</si>
  <si>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</si>
  <si>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</si>
  <si>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</si>
  <si>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</si>
  <si>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</si>
  <si>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</si>
  <si>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</si>
  <si>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</si>
  <si>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</si>
  <si>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</si>
  <si>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</si>
  <si>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</si>
  <si>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</si>
  <si>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</si>
  <si>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</si>
  <si>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</si>
  <si>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</si>
  <si>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</si>
  <si>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</si>
  <si>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</si>
  <si>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</si>
  <si>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</si>
  <si>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</si>
  <si>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</si>
  <si>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</si>
  <si>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</si>
  <si>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</si>
  <si>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</si>
  <si>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</si>
  <si>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</si>
  <si>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</si>
  <si>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</si>
  <si>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</si>
  <si>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</si>
  <si>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</si>
  <si>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</si>
  <si>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</si>
  <si>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</si>
  <si>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</si>
  <si>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</si>
  <si>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</si>
  <si>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</si>
  <si>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</si>
  <si>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</si>
  <si>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</si>
  <si>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</si>
  <si>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</si>
  <si>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</si>
  <si>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</si>
  <si>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</si>
  <si>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</si>
  <si>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</si>
  <si>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</si>
  <si>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</si>
  <si>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</si>
  <si>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</si>
  <si>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</si>
  <si>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</si>
  <si>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</si>
  <si>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</si>
  <si>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</si>
  <si>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</si>
  <si>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</si>
  <si>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</si>
  <si>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</si>
  <si>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</si>
  <si>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</si>
  <si>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</si>
  <si>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</si>
  <si>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</si>
  <si>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</si>
  <si>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</si>
  <si>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</si>
  <si>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</si>
  <si>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</si>
  <si>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</si>
  <si>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</si>
  <si>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</si>
  <si>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</si>
  <si>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</si>
  <si>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</si>
  <si>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</si>
  <si>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</si>
  <si>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</si>
  <si>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</si>
  <si>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</si>
  <si>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</si>
  <si>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</si>
  <si>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</si>
  <si>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</si>
  <si>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</si>
  <si>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</si>
  <si>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</si>
  <si>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</si>
  <si>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</si>
  <si>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</si>
  <si>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</si>
  <si>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</si>
  <si>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</si>
  <si>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</si>
  <si>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</si>
  <si>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</si>
  <si>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</si>
  <si>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</si>
  <si>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</si>
  <si>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</si>
  <si>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</si>
  <si>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</si>
  <si>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</si>
  <si>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</si>
  <si>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</si>
  <si>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</si>
  <si>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</si>
  <si>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</si>
  <si>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</si>
  <si>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</si>
  <si>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</si>
  <si>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</si>
  <si>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</si>
  <si>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</si>
  <si>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</si>
  <si>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</si>
  <si>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</si>
  <si>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</si>
  <si>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</si>
  <si>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</si>
  <si>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</si>
  <si>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</si>
  <si>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</si>
  <si>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</si>
  <si>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</si>
  <si>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</si>
  <si>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</si>
  <si>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</si>
  <si>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</si>
  <si>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</si>
  <si>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</si>
  <si>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</si>
  <si>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</si>
  <si>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</si>
  <si>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</si>
  <si>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</si>
  <si>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</si>
  <si>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</si>
  <si>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</si>
  <si>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</si>
  <si>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</si>
  <si>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</si>
  <si>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</si>
  <si>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</si>
  <si>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</si>
  <si>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</si>
  <si>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</si>
  <si>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</si>
  <si>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</si>
  <si>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</si>
  <si>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</si>
  <si>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</si>
  <si>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</si>
  <si>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</si>
  <si>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</si>
  <si>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</si>
  <si>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</si>
  <si>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</si>
  <si>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</si>
  <si>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</si>
  <si>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</si>
  <si>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</si>
  <si>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</si>
  <si>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</si>
  <si>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</si>
  <si>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</si>
  <si>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</si>
  <si>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</si>
  <si>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</si>
  <si>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</si>
  <si>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</si>
  <si>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</si>
  <si>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</si>
  <si>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</si>
  <si>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</si>
  <si>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</si>
  <si>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</si>
  <si>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</si>
  <si>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</si>
  <si>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</si>
  <si>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</si>
  <si>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</si>
  <si>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</si>
  <si>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</si>
  <si>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</si>
  <si>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</si>
  <si>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</si>
  <si>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</si>
  <si>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</si>
  <si>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</si>
  <si>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</si>
  <si>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</si>
  <si>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</si>
  <si>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</si>
  <si>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</si>
  <si>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</si>
  <si>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</si>
  <si>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</si>
  <si>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</si>
  <si>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</si>
  <si>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</si>
  <si>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</si>
  <si>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</si>
  <si>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</si>
  <si>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</si>
  <si>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</si>
  <si>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</si>
  <si>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</si>
  <si>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</si>
  <si>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</si>
  <si>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</si>
  <si>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</si>
  <si>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</si>
  <si>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</si>
  <si>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</si>
  <si>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</si>
  <si>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</si>
  <si>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</si>
  <si>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</si>
  <si>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</si>
  <si>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</si>
  <si>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</si>
  <si>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</si>
  <si>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</si>
  <si>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</si>
  <si>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</si>
  <si>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</si>
  <si>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</si>
  <si>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</si>
  <si>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</si>
  <si>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</si>
  <si>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</si>
  <si>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</si>
  <si>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</si>
  <si>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</si>
  <si>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</si>
  <si>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</si>
  <si>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</si>
  <si>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</si>
  <si>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</si>
  <si>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</si>
  <si>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</si>
  <si>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</si>
  <si>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</si>
  <si>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</si>
  <si>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</si>
  <si>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</si>
  <si>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</si>
  <si>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</si>
  <si>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</si>
  <si>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</si>
  <si>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</si>
  <si>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</si>
  <si>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</si>
  <si>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</si>
  <si>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</si>
  <si>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</si>
  <si>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</si>
  <si>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</si>
  <si>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</si>
  <si>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</si>
  <si>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</si>
  <si>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</si>
  <si>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</si>
  <si>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</si>
  <si>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</si>
  <si>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</si>
  <si>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</si>
  <si>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</si>
  <si>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</si>
  <si>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</si>
  <si>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</si>
  <si>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</si>
  <si>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</si>
  <si>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</si>
  <si>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</si>
  <si>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</si>
  <si>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</si>
  <si>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</si>
  <si>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</si>
  <si>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</si>
  <si>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</si>
  <si>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</si>
  <si>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</si>
  <si>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</si>
  <si>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</si>
  <si>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</si>
  <si>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</si>
  <si>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</si>
  <si>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</si>
  <si>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</si>
  <si>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</si>
  <si>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</si>
  <si>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</si>
  <si>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</si>
  <si>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</si>
  <si>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</si>
  <si>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</si>
  <si>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</si>
  <si>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</si>
  <si>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</si>
  <si>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</si>
  <si>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</si>
  <si>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</si>
  <si>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</si>
  <si>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</si>
  <si>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</si>
  <si>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</si>
  <si>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</si>
  <si>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</si>
  <si>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</si>
  <si>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</si>
  <si>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</si>
  <si>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</si>
  <si>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</si>
  <si>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</si>
  <si>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</si>
  <si>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</si>
  <si>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</si>
  <si>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</si>
  <si>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</si>
  <si>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</si>
  <si>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</si>
  <si>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</si>
  <si>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</si>
  <si>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</si>
  <si>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</si>
  <si>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</si>
  <si>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</si>
  <si>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</si>
  <si>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</si>
  <si>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</si>
  <si>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</si>
  <si>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</si>
  <si>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</si>
  <si>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</si>
  <si>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</si>
  <si>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</si>
  <si>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</si>
  <si>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</si>
  <si>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</si>
  <si>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</si>
  <si>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</si>
  <si>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</si>
  <si>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</si>
  <si>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</si>
  <si>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</si>
  <si>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</si>
  <si>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</si>
  <si>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</si>
  <si>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</si>
  <si>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</si>
  <si>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</si>
  <si>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</si>
  <si>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</si>
  <si>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</si>
  <si>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</si>
  <si>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</si>
  <si>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</si>
  <si>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</si>
  <si>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</si>
  <si>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</si>
  <si>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</si>
  <si>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</si>
  <si>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</si>
  <si>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</si>
  <si>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</si>
  <si>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</si>
  <si>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</si>
  <si>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</si>
  <si>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</si>
  <si>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</si>
  <si>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</si>
  <si>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</si>
  <si>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</si>
  <si>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</si>
  <si>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</si>
  <si>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</si>
  <si>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</si>
  <si>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</si>
  <si>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</si>
  <si>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</si>
  <si>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</si>
  <si>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</si>
  <si>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</si>
  <si>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</si>
  <si>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</si>
  <si>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</si>
  <si>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</si>
  <si>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</si>
  <si>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</si>
  <si>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</si>
  <si>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</si>
  <si>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</si>
  <si>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</si>
  <si>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</si>
  <si>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</si>
  <si>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</si>
  <si>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</si>
  <si>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</si>
  <si>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</si>
  <si>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</si>
  <si>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</si>
  <si>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</si>
  <si>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</si>
  <si>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</si>
  <si>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</si>
  <si>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</si>
  <si>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</si>
  <si>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</si>
  <si>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</si>
  <si>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</si>
  <si>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</si>
  <si>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</si>
  <si>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</si>
  <si>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</si>
  <si>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</si>
  <si>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</si>
  <si>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</si>
  <si>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</si>
  <si>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</si>
  <si>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</si>
  <si>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</si>
  <si>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</si>
  <si>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</si>
  <si>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</si>
  <si>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</si>
  <si>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</si>
  <si>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</si>
  <si>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</si>
  <si>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</si>
  <si>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</si>
  <si>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</si>
  <si>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</si>
  <si>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</si>
  <si>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</si>
  <si>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</si>
  <si>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</si>
  <si>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</si>
  <si>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</si>
  <si>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</si>
  <si>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</si>
  <si>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</si>
  <si>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</si>
  <si>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</si>
  <si>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</si>
  <si>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</si>
  <si>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</si>
  <si>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</si>
  <si>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</si>
  <si>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</si>
  <si>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</si>
  <si>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</si>
  <si>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</si>
  <si>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</si>
  <si>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</si>
  <si>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</si>
  <si>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</si>
  <si>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</si>
  <si>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</si>
  <si>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</si>
  <si>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</si>
  <si>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</si>
  <si>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</si>
  <si>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</si>
  <si>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</si>
  <si>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</si>
  <si>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</si>
  <si>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</si>
  <si>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</si>
  <si>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</si>
  <si>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</si>
  <si>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</si>
  <si>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</si>
  <si>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</si>
  <si>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</si>
  <si>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</si>
  <si>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</si>
  <si>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</si>
  <si>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</si>
  <si>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</si>
  <si>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</si>
  <si>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</si>
  <si>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</si>
  <si>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</si>
  <si>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</si>
  <si>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</si>
  <si>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</si>
  <si>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</si>
  <si>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</si>
  <si>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</si>
  <si>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</si>
  <si>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</si>
  <si>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</si>
  <si>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</si>
  <si>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</si>
  <si>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</si>
  <si>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</si>
  <si>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</si>
  <si>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</si>
  <si>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</si>
  <si>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</si>
  <si>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</si>
  <si>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</si>
  <si>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</si>
  <si>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</si>
  <si>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</si>
  <si>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</si>
  <si>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</si>
  <si>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</si>
  <si>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</si>
  <si>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</si>
  <si>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</si>
  <si>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</si>
  <si>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</si>
  <si>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</si>
  <si>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</si>
  <si>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</si>
  <si>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</si>
  <si>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</si>
  <si>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</si>
  <si>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</si>
  <si>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</si>
  <si>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</si>
  <si>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</si>
  <si>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</si>
  <si>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</si>
  <si>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</si>
  <si>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</si>
  <si>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</si>
  <si>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</si>
  <si>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</si>
  <si>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</si>
  <si>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</si>
  <si>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</si>
  <si>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</si>
  <si>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</si>
  <si>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</si>
  <si>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</si>
  <si>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</si>
  <si>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</si>
  <si>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</si>
  <si>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</si>
  <si>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</si>
  <si>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</si>
  <si>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</si>
  <si>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</si>
  <si>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</si>
  <si>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</si>
  <si>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</si>
  <si>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</si>
  <si>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</si>
  <si>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</si>
  <si>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</si>
  <si>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</si>
  <si>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</si>
  <si>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</si>
  <si>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</si>
  <si>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</si>
  <si>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</si>
  <si>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</si>
  <si>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</si>
  <si>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</si>
  <si>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</si>
  <si>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</si>
  <si>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</si>
  <si>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</si>
  <si>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</si>
  <si>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</si>
  <si>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</si>
  <si>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</si>
  <si>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</si>
  <si>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</si>
  <si>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</si>
  <si>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</si>
  <si>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</si>
  <si>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</si>
  <si>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</si>
  <si>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</si>
  <si>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</si>
  <si>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</si>
  <si>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</si>
  <si>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</si>
  <si>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</si>
  <si>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</si>
  <si>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</si>
  <si>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</si>
  <si>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</si>
  <si>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</si>
  <si>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</si>
  <si>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</si>
  <si>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</si>
  <si>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</si>
  <si>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</si>
  <si>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</si>
  <si>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</si>
  <si>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</si>
  <si>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</si>
  <si>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</si>
  <si>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</si>
  <si>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</si>
  <si>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</si>
  <si>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</si>
  <si>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</si>
  <si>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</si>
  <si>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</si>
  <si>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</si>
  <si>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</si>
  <si>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</si>
  <si>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</si>
  <si>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</si>
  <si>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</si>
  <si>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</si>
  <si>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</si>
  <si>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</si>
  <si>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</si>
  <si>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</si>
  <si>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</si>
  <si>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</si>
  <si>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</si>
  <si>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</si>
  <si>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</si>
  <si>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</si>
  <si>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</si>
  <si>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</si>
  <si>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</si>
  <si>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</si>
  <si>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</si>
  <si>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</si>
  <si>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</si>
  <si>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</si>
  <si>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</si>
  <si>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</si>
  <si>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</si>
  <si>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</si>
  <si>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</si>
  <si>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</si>
  <si>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</si>
  <si>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</si>
  <si>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</si>
  <si>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</si>
  <si>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</si>
  <si>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</si>
  <si>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</si>
  <si>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</si>
  <si>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</si>
  <si>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</si>
  <si>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</si>
  <si>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</si>
  <si>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</si>
  <si>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</si>
  <si>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</si>
  <si>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</si>
  <si>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</si>
  <si>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</si>
  <si>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</si>
  <si>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</si>
  <si>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</si>
  <si>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</si>
  <si>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</si>
  <si>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</si>
  <si>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</si>
  <si>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</si>
  <si>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</si>
  <si>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</si>
  <si>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</si>
  <si>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</si>
  <si>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</si>
  <si>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</si>
  <si>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</si>
  <si>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</si>
  <si>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</si>
  <si>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</si>
  <si>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</si>
  <si>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</si>
  <si>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</si>
  <si>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</si>
  <si>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</si>
  <si>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</si>
  <si>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</si>
  <si>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</si>
  <si>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</si>
  <si>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</si>
  <si>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</si>
  <si>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</si>
  <si>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</si>
  <si>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</si>
  <si>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</si>
  <si>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</si>
  <si>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</si>
  <si>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</si>
  <si>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</si>
  <si>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</si>
  <si>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</si>
  <si>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</si>
  <si>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</si>
  <si>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</si>
  <si>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</si>
  <si>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</si>
  <si>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</si>
  <si>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</si>
  <si>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</si>
  <si>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</si>
  <si>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</si>
  <si>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</si>
  <si>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</si>
  <si>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</si>
  <si>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</si>
  <si>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</si>
  <si>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</si>
  <si>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</si>
  <si>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</si>
  <si>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</si>
  <si>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</si>
  <si>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</si>
  <si>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</si>
  <si>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</si>
  <si>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</si>
  <si>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</si>
  <si>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</si>
  <si>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</si>
  <si>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</si>
  <si>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</si>
  <si>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</si>
  <si>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</si>
  <si>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</si>
  <si>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</si>
  <si>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</si>
  <si>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</si>
  <si>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</si>
  <si>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</si>
  <si>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</si>
  <si>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</si>
  <si>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</si>
  <si>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</si>
  <si>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</si>
  <si>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</si>
  <si>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</si>
  <si>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</si>
  <si>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</si>
  <si>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</si>
  <si>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</si>
  <si>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</si>
  <si>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</si>
  <si>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</si>
  <si>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</si>
  <si>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</si>
  <si>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</si>
  <si>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</si>
  <si>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</si>
  <si>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</si>
  <si>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</si>
  <si>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</si>
  <si>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</si>
  <si>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</si>
  <si>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</si>
  <si>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</si>
  <si>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</si>
  <si>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</si>
  <si>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</si>
  <si>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</si>
  <si>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</si>
  <si>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</si>
  <si>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</si>
  <si>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</si>
  <si>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</si>
  <si>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</si>
  <si>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</si>
  <si>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</si>
  <si>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</si>
  <si>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</si>
  <si>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</si>
  <si>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</si>
  <si>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</si>
  <si>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</si>
  <si>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</si>
  <si>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</si>
  <si>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</si>
  <si>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</si>
  <si>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</si>
  <si>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</si>
  <si>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</si>
  <si>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</si>
  <si>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</si>
  <si>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</si>
  <si>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</si>
  <si>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</si>
  <si>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</si>
  <si>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</si>
  <si>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</si>
  <si>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</si>
  <si>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</si>
  <si>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</si>
  <si>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</si>
  <si>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</si>
  <si>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</si>
  <si>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</si>
  <si>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</si>
  <si>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</si>
  <si>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</si>
  <si>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</si>
  <si>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</si>
  <si>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</si>
  <si>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</si>
  <si>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</si>
  <si>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</si>
  <si>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</si>
  <si>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</si>
  <si>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</si>
  <si>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</si>
  <si>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</si>
  <si>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</si>
  <si>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</si>
  <si>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</si>
  <si>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</si>
  <si>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</si>
  <si>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</si>
  <si>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</si>
  <si>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</si>
  <si>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</si>
  <si>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</si>
  <si>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</si>
  <si>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</si>
  <si>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</si>
  <si>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</si>
  <si>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</si>
  <si>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</si>
  <si>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</si>
  <si>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</si>
  <si>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</si>
  <si>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</si>
  <si>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</si>
  <si>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</si>
  <si>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</si>
  <si>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</si>
  <si>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</si>
  <si>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</si>
  <si>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</si>
  <si>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</si>
  <si>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</si>
  <si>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</si>
  <si>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</si>
  <si>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</si>
  <si>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</si>
  <si>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</si>
  <si>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</si>
  <si>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</si>
  <si>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</si>
  <si>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</si>
  <si>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</si>
  <si>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</si>
  <si>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</si>
  <si>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</si>
  <si>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</si>
  <si>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</si>
  <si>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</si>
  <si>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</si>
  <si>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</si>
  <si>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</si>
  <si>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</si>
  <si>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</si>
  <si>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</si>
  <si>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</si>
  <si>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</si>
  <si>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</si>
  <si>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</si>
  <si>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</si>
  <si>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</si>
  <si>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</si>
  <si>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</si>
  <si>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</si>
  <si>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</si>
  <si>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</si>
  <si>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</si>
  <si>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</si>
  <si>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</si>
  <si>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</si>
  <si>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</si>
  <si>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</si>
  <si>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</si>
  <si>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</si>
  <si>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</si>
  <si>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</si>
  <si>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</si>
  <si>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</si>
  <si>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</si>
  <si>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</si>
  <si>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</si>
  <si>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</si>
  <si>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</si>
  <si>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</si>
  <si>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</si>
  <si>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</si>
  <si>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</si>
  <si>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</si>
  <si>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</si>
  <si>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</si>
  <si>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</si>
  <si>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</si>
  <si>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</si>
  <si>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</si>
  <si>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</si>
  <si>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</si>
  <si>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</si>
  <si>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</si>
  <si>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</si>
  <si>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</si>
  <si>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</si>
  <si>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</si>
  <si>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</si>
  <si>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</si>
  <si>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</si>
  <si>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</si>
  <si>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</si>
  <si>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</si>
  <si>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</si>
  <si>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</si>
  <si>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</si>
  <si>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</si>
  <si>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</si>
  <si>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</si>
  <si>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</si>
  <si>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</si>
  <si>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</si>
  <si>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</si>
  <si>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</si>
  <si>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</si>
  <si>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</si>
  <si>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</si>
  <si>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</si>
  <si>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</si>
  <si>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</si>
  <si>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</si>
  <si>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</si>
  <si>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</si>
  <si>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</si>
  <si>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</si>
  <si>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</si>
  <si>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</si>
  <si>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</si>
  <si>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</si>
  <si>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</si>
  <si>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</si>
  <si>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</si>
  <si>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</si>
  <si>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</si>
  <si>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</si>
  <si>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</si>
  <si>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</si>
  <si>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</si>
  <si>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</si>
  <si>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</si>
  <si>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</si>
  <si>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</si>
  <si>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</si>
  <si>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</si>
  <si>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</si>
  <si>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</si>
  <si>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</si>
  <si>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</si>
  <si>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</si>
  <si>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Alpha Wire</t>
  </si>
  <si>
    <t>711 Lidgerwood Avenue, Elizabeth, NJ 07207</t>
  </si>
  <si>
    <t>Kevin York</t>
  </si>
  <si>
    <t>Kevin.York@Alphawire.com</t>
  </si>
  <si>
    <t>908-925-8000</t>
  </si>
  <si>
    <t>Kevin Westerlind</t>
  </si>
  <si>
    <t>Vice President - Operations</t>
  </si>
  <si>
    <t>Kevin.Westerlind@Alphawire.com</t>
  </si>
  <si>
    <t>https://www.belden.com/About/corporate-responsibility</t>
  </si>
  <si>
    <t>CID001428</t>
  </si>
  <si>
    <t>CID001402</t>
  </si>
  <si>
    <t>CID000315</t>
  </si>
  <si>
    <t>CID001463</t>
  </si>
  <si>
    <t>CID001457</t>
  </si>
  <si>
    <t>CID001434</t>
  </si>
  <si>
    <t>CID002530</t>
  </si>
  <si>
    <t>CID001421</t>
  </si>
  <si>
    <t>CID001493</t>
  </si>
  <si>
    <t>CID002592</t>
  </si>
  <si>
    <t>CID001471</t>
  </si>
  <si>
    <t>CID002776</t>
  </si>
  <si>
    <t>CID001419</t>
  </si>
  <si>
    <t>CID002816</t>
  </si>
  <si>
    <t>CID002696</t>
  </si>
  <si>
    <t>CID001810</t>
  </si>
  <si>
    <t>CID000760</t>
  </si>
  <si>
    <t>CID000328</t>
  </si>
  <si>
    <t>CID002866</t>
  </si>
  <si>
    <t>CID002510</t>
  </si>
  <si>
    <t>CID001977</t>
  </si>
  <si>
    <t>CID002854</t>
  </si>
  <si>
    <t>CID000278</t>
  </si>
  <si>
    <t>CID000306</t>
  </si>
  <si>
    <t>CID002849</t>
  </si>
  <si>
    <t>CID000244</t>
  </si>
  <si>
    <t>CID001438</t>
  </si>
  <si>
    <t>CID001448</t>
  </si>
  <si>
    <t>CID002829</t>
  </si>
  <si>
    <t>CID000313</t>
  </si>
  <si>
    <t>CID002478</t>
  </si>
  <si>
    <t>PT Bukit Timah</t>
  </si>
  <si>
    <t>PT Babel Inti Perkasa</t>
  </si>
  <si>
    <t>CV United Smelting</t>
  </si>
  <si>
    <t>Lintang</t>
  </si>
  <si>
    <t>PT Sariwiguna Binasentosa</t>
  </si>
  <si>
    <t>PT Panca Mega Persada</t>
  </si>
  <si>
    <t>PT DS Jaya Abadi</t>
  </si>
  <si>
    <t>PT Inti Stania Prima</t>
  </si>
  <si>
    <t>PT Belitung Industri Sejahtera</t>
  </si>
  <si>
    <t>Pegantungan</t>
  </si>
  <si>
    <t>PT Tommy Utama</t>
  </si>
  <si>
    <t>CV Dua Sekawan</t>
  </si>
  <si>
    <t>PT Sumber Jaya Indah</t>
  </si>
  <si>
    <t>Sumping Desa Batu Peyu</t>
  </si>
  <si>
    <t>PT Bangka Prima Tin</t>
  </si>
  <si>
    <t>PT Bangka Tin Industry</t>
  </si>
  <si>
    <t>Air Mesu</t>
  </si>
  <si>
    <t>PT Sukses Inti Makmur</t>
  </si>
  <si>
    <t>Indonesia</t>
  </si>
  <si>
    <t>Jl. Raya Petikan RT 007 / RW 03. Dusun Petikan, Desa</t>
  </si>
  <si>
    <t/>
  </si>
  <si>
    <t>Temmy Njoto</t>
  </si>
  <si>
    <t>temmy.njoto@gmail.com</t>
  </si>
  <si>
    <t>PT Cipta Persada Mulia</t>
  </si>
  <si>
    <t>Desa Sungai Buluh, Kecamatan Singkep Barat, Kabupaten Lingga</t>
  </si>
  <si>
    <t>Darwis Fensury</t>
  </si>
  <si>
    <t>darwis.fensury@ciptapersadamulia.co.id</t>
  </si>
  <si>
    <t>Super Dragon Technology Co., Ltd.</t>
  </si>
  <si>
    <t>Huichang Jinshunda Tin Co., Ltd.</t>
  </si>
  <si>
    <t>Daejin Indus Co., Ltd.</t>
  </si>
  <si>
    <t>Republic Metals Corporation</t>
  </si>
  <si>
    <t>Umicore Brasil Ltda.</t>
  </si>
  <si>
    <t>Universal Precious Metals Refining Zambia</t>
  </si>
  <si>
    <t>CV Gita Pesona</t>
  </si>
  <si>
    <t>Guanyang Guida Nonferrous Metal Smelting Plant</t>
  </si>
  <si>
    <t>Jiangxi Ketai Advanced Material Co., Ltd.</t>
  </si>
  <si>
    <t>PT Eunindo Usaha Mandiri</t>
  </si>
  <si>
    <t>PT Karimun Mining</t>
  </si>
  <si>
    <t>PT Kijang Jaya Mandiri</t>
  </si>
  <si>
    <t>PT Premium Tin Indonesia</t>
  </si>
  <si>
    <t>PT Tirus Putra Mandiri</t>
  </si>
  <si>
    <t>Gold Coast</t>
  </si>
  <si>
    <t>Miami</t>
  </si>
  <si>
    <t>Guarulhos</t>
  </si>
  <si>
    <t xml:space="preserve">	São Paulo</t>
  </si>
  <si>
    <t>Guanyang</t>
  </si>
  <si>
    <t>Jiangxi</t>
  </si>
  <si>
    <t>Karimun</t>
  </si>
  <si>
    <t>Pangkalan</t>
  </si>
  <si>
    <t>Central Kalimantan</t>
  </si>
  <si>
    <t>Bogor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</si>
</sst>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8" fillId="0" borderId="0" applyNumberFormat="0" applyFill="0" applyBorder="0" applyAlignment="0" applyProtection="0">
      <alignment vertical="top"/>
      <protection locked="0"/>
    </xf>
  </cellStyleXfs>
  <cellXfs count="46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horizontal="left" vertical="center" wrapText="1"/>
      <protection locked="0" hidden="1"/>
    </xf>
    <xf numFmtId="0" fontId="0" fillId="33" borderId="48" xfId="0" applyFill="1" applyBorder="1" applyAlignment="1" applyProtection="1">
      <alignment horizontal="left" vertical="center" wrapText="1"/>
      <protection locked="0"/>
    </xf>
    <xf numFmtId="0" fontId="0" fillId="33" borderId="0" xfId="0" applyFill="1" applyAlignment="1" applyProtection="1">
      <alignment horizontal="left" vertical="center" wrapText="1"/>
      <protection locked="0"/>
    </xf>
    <xf numFmtId="0" fontId="0" fillId="0" borderId="19" xfId="0" applyBorder="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33" borderId="48" xfId="0" applyFill="1" applyBorder="1" applyAlignment="1" applyProtection="1">
      <alignment horizontal="left" vertical="center" wrapText="1"/>
      <protection locked="0" hidden="1"/>
    </xf>
    <xf numFmtId="0" fontId="0" fillId="0" borderId="48" xfId="0"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98" fillId="0" borderId="65" xfId="0" applyFont="1" applyBorder="1" applyAlignment="1" applyProtection="1">
      <alignment horizontal="left"/>
      <protection locked="0"/>
    </xf>
    <xf numFmtId="0" fontId="98" fillId="0" borderId="66" xfId="0" applyFont="1" applyBorder="1" applyAlignment="1" applyProtection="1">
      <alignment horizontal="left"/>
      <protection locked="0"/>
    </xf>
    <xf numFmtId="0" fontId="98" fillId="0" borderId="67" xfId="0" applyFont="1" applyBorder="1" applyAlignment="1" applyProtection="1">
      <alignment horizontal="left"/>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FDDAD01F-5415-4ADE-95B1-1B510B178BF8}"/>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indexed="10"/>
      </font>
    </dxf>
    <dxf>
      <fill>
        <patternFill>
          <bgColor rgb="FFFFFF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FF00"/>
        </patternFill>
      </fill>
    </dxf>
    <dxf>
      <font>
        <color indexed="10"/>
      </font>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elden.com/About/corporate-responsibilit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8"/>
      <c r="B2" s="38" t="s">
        <v>847</v>
      </c>
      <c r="C2" s="36"/>
      <c r="D2" s="206"/>
      <c r="E2" s="3"/>
      <c r="F2" s="36"/>
      <c r="G2" s="34"/>
    </row>
    <row r="3" spans="1:7">
      <c r="A3" s="368"/>
      <c r="B3" s="5" t="s">
        <v>839</v>
      </c>
      <c r="C3" s="6"/>
      <c r="D3" s="207"/>
      <c r="E3" s="3"/>
      <c r="F3" s="6"/>
      <c r="G3" s="34"/>
    </row>
    <row r="4" spans="1:7" ht="15.75">
      <c r="A4" s="368"/>
      <c r="B4" s="41" t="s">
        <v>849</v>
      </c>
      <c r="C4" s="7"/>
      <c r="D4" s="208"/>
      <c r="E4" s="3"/>
      <c r="F4" s="7"/>
      <c r="G4" s="34"/>
    </row>
    <row r="5" spans="1:7">
      <c r="A5" s="368"/>
      <c r="B5" s="40" t="s">
        <v>1040</v>
      </c>
      <c r="C5" s="4"/>
      <c r="D5" s="209"/>
      <c r="E5" s="3"/>
      <c r="F5" s="4"/>
      <c r="G5" s="34"/>
    </row>
    <row r="6" spans="1:7">
      <c r="A6" s="368"/>
      <c r="B6" s="8"/>
      <c r="C6" s="8"/>
      <c r="D6" s="210"/>
      <c r="E6" s="8"/>
      <c r="F6" s="8"/>
      <c r="G6" s="34"/>
    </row>
    <row r="7" spans="1:7">
      <c r="A7" s="368"/>
      <c r="B7" s="8"/>
      <c r="C7" s="8"/>
      <c r="D7" s="210"/>
      <c r="E7" s="8"/>
      <c r="F7" s="8"/>
      <c r="G7" s="34"/>
    </row>
    <row r="8" spans="1:7">
      <c r="A8" s="368"/>
      <c r="B8" s="8"/>
      <c r="C8" s="8"/>
      <c r="D8" s="210"/>
      <c r="E8" s="8"/>
      <c r="F8" s="8"/>
      <c r="G8" s="34"/>
    </row>
    <row r="9" spans="1:7">
      <c r="A9" s="368"/>
      <c r="B9" s="371" t="s">
        <v>850</v>
      </c>
      <c r="C9" s="371"/>
      <c r="D9" s="371"/>
      <c r="E9" s="371"/>
      <c r="F9" s="371"/>
      <c r="G9" s="34"/>
    </row>
    <row r="10" spans="1:7" ht="27" customHeight="1">
      <c r="A10" s="368"/>
      <c r="B10" s="372" t="s">
        <v>438</v>
      </c>
      <c r="C10" s="372"/>
      <c r="D10" s="372"/>
      <c r="E10" s="372"/>
      <c r="F10" s="372"/>
      <c r="G10" s="34"/>
    </row>
    <row r="11" spans="1:7" ht="27" customHeight="1">
      <c r="A11" s="368"/>
      <c r="B11" s="373"/>
      <c r="C11" s="373"/>
      <c r="D11" s="373"/>
      <c r="E11" s="373"/>
      <c r="F11" s="373"/>
      <c r="G11" s="34"/>
    </row>
    <row r="12" spans="1:7">
      <c r="A12" s="368"/>
      <c r="B12" s="42" t="s">
        <v>848</v>
      </c>
      <c r="C12" s="43" t="s">
        <v>851</v>
      </c>
      <c r="D12" s="211" t="s">
        <v>852</v>
      </c>
      <c r="E12" s="43" t="s">
        <v>612</v>
      </c>
      <c r="F12" s="43" t="s">
        <v>613</v>
      </c>
      <c r="G12" s="34"/>
    </row>
    <row r="13" spans="1:7" ht="33.75">
      <c r="A13" s="368"/>
      <c r="B13" s="2">
        <v>1</v>
      </c>
      <c r="C13" s="37" t="s">
        <v>1088</v>
      </c>
      <c r="D13" s="39" t="s">
        <v>876</v>
      </c>
      <c r="E13" s="194" t="s">
        <v>853</v>
      </c>
      <c r="F13" s="194"/>
      <c r="G13" s="34"/>
    </row>
    <row r="14" spans="1:7" ht="33.75">
      <c r="A14" s="368"/>
      <c r="B14" s="2">
        <v>2</v>
      </c>
      <c r="C14" s="37" t="s">
        <v>1088</v>
      </c>
      <c r="D14" s="39" t="s">
        <v>1025</v>
      </c>
      <c r="E14" s="194" t="s">
        <v>530</v>
      </c>
      <c r="F14" s="194" t="s">
        <v>531</v>
      </c>
      <c r="G14" s="34"/>
    </row>
    <row r="15" spans="1:7" ht="89.1" customHeight="1">
      <c r="A15" s="368"/>
      <c r="B15" s="374">
        <v>2.0099999999999998</v>
      </c>
      <c r="C15" s="365" t="s">
        <v>1088</v>
      </c>
      <c r="D15" s="377" t="s">
        <v>2265</v>
      </c>
      <c r="E15" s="195" t="s">
        <v>614</v>
      </c>
      <c r="F15" s="195" t="s">
        <v>617</v>
      </c>
      <c r="G15" s="34"/>
    </row>
    <row r="16" spans="1:7" ht="99" customHeight="1">
      <c r="A16" s="368"/>
      <c r="B16" s="375"/>
      <c r="C16" s="366"/>
      <c r="D16" s="378"/>
      <c r="E16" s="196"/>
      <c r="F16" s="196" t="s">
        <v>615</v>
      </c>
      <c r="G16" s="34"/>
    </row>
    <row r="17" spans="1:7" ht="63" customHeight="1">
      <c r="A17" s="368"/>
      <c r="B17" s="376"/>
      <c r="C17" s="367"/>
      <c r="D17" s="379"/>
      <c r="E17" s="37"/>
      <c r="F17" s="37" t="s">
        <v>616</v>
      </c>
      <c r="G17" s="34"/>
    </row>
    <row r="18" spans="1:7" ht="117" customHeight="1">
      <c r="A18" s="368"/>
      <c r="B18" s="374">
        <v>2.02</v>
      </c>
      <c r="C18" s="365" t="s">
        <v>1088</v>
      </c>
      <c r="D18" s="377" t="s">
        <v>2266</v>
      </c>
      <c r="E18" s="195" t="s">
        <v>439</v>
      </c>
      <c r="F18" s="195" t="s">
        <v>525</v>
      </c>
      <c r="G18" s="34"/>
    </row>
    <row r="19" spans="1:7" ht="71.099999999999994" customHeight="1">
      <c r="A19" s="368"/>
      <c r="B19" s="375"/>
      <c r="C19" s="366"/>
      <c r="D19" s="378"/>
      <c r="E19" s="196" t="s">
        <v>529</v>
      </c>
      <c r="F19" s="196" t="s">
        <v>440</v>
      </c>
      <c r="G19" s="34"/>
    </row>
    <row r="20" spans="1:7" ht="90.75" customHeight="1">
      <c r="A20" s="368"/>
      <c r="B20" s="375"/>
      <c r="C20" s="366"/>
      <c r="D20" s="378"/>
      <c r="E20" s="196"/>
      <c r="F20" s="196" t="s">
        <v>619</v>
      </c>
      <c r="G20" s="34"/>
    </row>
    <row r="21" spans="1:7" ht="74.25" customHeight="1">
      <c r="A21" s="368"/>
      <c r="B21" s="376"/>
      <c r="C21" s="367"/>
      <c r="D21" s="379"/>
      <c r="E21" s="37"/>
      <c r="F21" s="37" t="s">
        <v>618</v>
      </c>
      <c r="G21" s="34"/>
    </row>
    <row r="22" spans="1:7" ht="90" customHeight="1">
      <c r="A22" s="368"/>
      <c r="B22" s="383">
        <v>2.0299999999999998</v>
      </c>
      <c r="C22" s="383" t="s">
        <v>822</v>
      </c>
      <c r="D22" s="386" t="s">
        <v>2267</v>
      </c>
      <c r="E22" s="365" t="s">
        <v>437</v>
      </c>
      <c r="F22" s="195" t="s">
        <v>460</v>
      </c>
      <c r="G22" s="34"/>
    </row>
    <row r="23" spans="1:7" ht="109.5" customHeight="1">
      <c r="A23" s="368"/>
      <c r="B23" s="384"/>
      <c r="C23" s="384"/>
      <c r="D23" s="387"/>
      <c r="E23" s="366"/>
      <c r="F23" s="196" t="s">
        <v>823</v>
      </c>
      <c r="G23" s="34"/>
    </row>
    <row r="24" spans="1:7" ht="74.25" customHeight="1">
      <c r="A24" s="368"/>
      <c r="B24" s="385"/>
      <c r="C24" s="385"/>
      <c r="D24" s="388"/>
      <c r="E24" s="367"/>
      <c r="F24" s="37" t="s">
        <v>436</v>
      </c>
      <c r="G24" s="34"/>
    </row>
    <row r="25" spans="1:7" ht="72" customHeight="1">
      <c r="A25" s="368"/>
      <c r="B25" s="2" t="s">
        <v>458</v>
      </c>
      <c r="C25" s="37" t="s">
        <v>459</v>
      </c>
      <c r="D25" s="39" t="s">
        <v>2268</v>
      </c>
      <c r="E25" s="37" t="s">
        <v>2263</v>
      </c>
      <c r="F25" s="37" t="s">
        <v>461</v>
      </c>
      <c r="G25" s="34"/>
    </row>
    <row r="26" spans="1:7" ht="98.1" customHeight="1">
      <c r="A26" s="368"/>
      <c r="B26" s="380">
        <v>3</v>
      </c>
      <c r="C26" s="374" t="s">
        <v>70</v>
      </c>
      <c r="D26" s="377" t="s">
        <v>2269</v>
      </c>
      <c r="E26" s="365" t="s">
        <v>0</v>
      </c>
      <c r="F26" s="195" t="s">
        <v>64</v>
      </c>
      <c r="G26" s="34"/>
    </row>
    <row r="27" spans="1:7" ht="90" customHeight="1">
      <c r="A27" s="368"/>
      <c r="B27" s="381"/>
      <c r="C27" s="375"/>
      <c r="D27" s="378"/>
      <c r="E27" s="366"/>
      <c r="F27" s="196" t="s">
        <v>59</v>
      </c>
      <c r="G27" s="34"/>
    </row>
    <row r="28" spans="1:7" ht="19.350000000000001" customHeight="1">
      <c r="A28" s="368"/>
      <c r="B28" s="381"/>
      <c r="C28" s="375"/>
      <c r="D28" s="378"/>
      <c r="E28" s="366"/>
      <c r="F28" s="196" t="s">
        <v>60</v>
      </c>
      <c r="G28" s="34"/>
    </row>
    <row r="29" spans="1:7" ht="74.45" customHeight="1">
      <c r="A29" s="368"/>
      <c r="B29" s="381"/>
      <c r="C29" s="375"/>
      <c r="D29" s="378"/>
      <c r="E29" s="366"/>
      <c r="F29" s="196" t="s">
        <v>61</v>
      </c>
      <c r="G29" s="34"/>
    </row>
    <row r="30" spans="1:7" ht="62.45" customHeight="1">
      <c r="A30" s="368"/>
      <c r="B30" s="381"/>
      <c r="C30" s="375"/>
      <c r="D30" s="378"/>
      <c r="E30" s="366"/>
      <c r="F30" s="196" t="s">
        <v>62</v>
      </c>
      <c r="G30" s="34"/>
    </row>
    <row r="31" spans="1:7" ht="81" customHeight="1">
      <c r="A31" s="368"/>
      <c r="B31" s="381"/>
      <c r="C31" s="375"/>
      <c r="D31" s="378"/>
      <c r="E31" s="366"/>
      <c r="F31" s="196" t="s">
        <v>63</v>
      </c>
      <c r="G31" s="34"/>
    </row>
    <row r="32" spans="1:7" ht="48.75" customHeight="1">
      <c r="A32" s="368"/>
      <c r="B32" s="381"/>
      <c r="C32" s="375"/>
      <c r="D32" s="378"/>
      <c r="E32" s="366"/>
      <c r="F32" s="196" t="s">
        <v>66</v>
      </c>
      <c r="G32" s="34"/>
    </row>
    <row r="33" spans="1:7" ht="98.45" customHeight="1">
      <c r="A33" s="368"/>
      <c r="B33" s="381"/>
      <c r="C33" s="375"/>
      <c r="D33" s="378"/>
      <c r="E33" s="366"/>
      <c r="F33" s="196" t="s">
        <v>65</v>
      </c>
      <c r="G33" s="34"/>
    </row>
    <row r="34" spans="1:7" ht="89.1" customHeight="1">
      <c r="A34" s="368"/>
      <c r="B34" s="381"/>
      <c r="C34" s="375"/>
      <c r="D34" s="378"/>
      <c r="E34" s="366"/>
      <c r="F34" s="196" t="s">
        <v>67</v>
      </c>
      <c r="G34" s="34"/>
    </row>
    <row r="35" spans="1:7" ht="29.1" customHeight="1">
      <c r="A35" s="368"/>
      <c r="B35" s="381"/>
      <c r="C35" s="375"/>
      <c r="D35" s="378"/>
      <c r="E35" s="366"/>
      <c r="F35" s="196" t="s">
        <v>68</v>
      </c>
      <c r="G35" s="34"/>
    </row>
    <row r="36" spans="1:7" ht="126.75">
      <c r="A36" s="368"/>
      <c r="B36" s="382"/>
      <c r="C36" s="376"/>
      <c r="D36" s="379"/>
      <c r="E36" s="367"/>
      <c r="F36" s="197" t="s">
        <v>69</v>
      </c>
      <c r="G36" s="34"/>
    </row>
    <row r="37" spans="1:7" ht="112.5">
      <c r="A37" s="368"/>
      <c r="B37" s="170">
        <v>3.01</v>
      </c>
      <c r="C37" s="171" t="s">
        <v>70</v>
      </c>
      <c r="D37" s="39" t="s">
        <v>2270</v>
      </c>
      <c r="E37" s="198" t="s">
        <v>1328</v>
      </c>
      <c r="F37" s="199" t="s">
        <v>1434</v>
      </c>
      <c r="G37" s="34"/>
    </row>
    <row r="38" spans="1:7" ht="101.25">
      <c r="A38" s="368"/>
      <c r="B38" s="170">
        <v>3.02</v>
      </c>
      <c r="C38" s="171" t="s">
        <v>1361</v>
      </c>
      <c r="D38" s="39" t="s">
        <v>2271</v>
      </c>
      <c r="E38" s="198" t="s">
        <v>1376</v>
      </c>
      <c r="F38" s="199" t="s">
        <v>1435</v>
      </c>
      <c r="G38" s="34"/>
    </row>
    <row r="39" spans="1:7" ht="101.25">
      <c r="A39" s="368"/>
      <c r="B39" s="180">
        <v>4</v>
      </c>
      <c r="C39" s="179" t="s">
        <v>1531</v>
      </c>
      <c r="D39" s="39" t="s">
        <v>2272</v>
      </c>
      <c r="E39" s="37" t="s">
        <v>2215</v>
      </c>
      <c r="F39" s="37" t="s">
        <v>1532</v>
      </c>
      <c r="G39" s="34"/>
    </row>
    <row r="40" spans="1:7" ht="56.25">
      <c r="A40" s="368"/>
      <c r="B40" s="170">
        <v>4.01</v>
      </c>
      <c r="C40" s="179" t="s">
        <v>1531</v>
      </c>
      <c r="D40" s="39" t="s">
        <v>2274</v>
      </c>
      <c r="E40" s="37" t="s">
        <v>2229</v>
      </c>
      <c r="F40" s="37" t="s">
        <v>2233</v>
      </c>
      <c r="G40" s="34"/>
    </row>
    <row r="41" spans="1:7" ht="56.25">
      <c r="A41" s="368"/>
      <c r="B41" s="170" t="s">
        <v>2261</v>
      </c>
      <c r="C41" s="179" t="s">
        <v>1531</v>
      </c>
      <c r="D41" s="39" t="s">
        <v>2273</v>
      </c>
      <c r="E41" s="37" t="s">
        <v>2264</v>
      </c>
      <c r="F41" s="37" t="s">
        <v>2262</v>
      </c>
      <c r="G41" s="34"/>
    </row>
    <row r="42" spans="1:7" ht="56.25">
      <c r="A42" s="368"/>
      <c r="B42" s="170" t="s">
        <v>2299</v>
      </c>
      <c r="C42" s="179" t="s">
        <v>1531</v>
      </c>
      <c r="D42" s="39" t="s">
        <v>2306</v>
      </c>
      <c r="E42" s="37" t="s">
        <v>2263</v>
      </c>
      <c r="F42" s="37" t="s">
        <v>2300</v>
      </c>
      <c r="G42" s="34"/>
    </row>
    <row r="43" spans="1:7" ht="123.75">
      <c r="A43" s="368"/>
      <c r="B43" s="191">
        <v>4.0999999999999996</v>
      </c>
      <c r="C43" s="179" t="s">
        <v>2305</v>
      </c>
      <c r="D43" s="192">
        <v>42867</v>
      </c>
      <c r="E43" s="200" t="s">
        <v>2308</v>
      </c>
      <c r="F43" s="37" t="s">
        <v>2307</v>
      </c>
      <c r="G43" s="34"/>
    </row>
    <row r="44" spans="1:7" ht="78.75">
      <c r="A44" s="368"/>
      <c r="B44" s="191">
        <v>4.2</v>
      </c>
      <c r="C44" s="179" t="s">
        <v>2305</v>
      </c>
      <c r="D44" s="192">
        <v>42704</v>
      </c>
      <c r="E44" s="200" t="s">
        <v>2510</v>
      </c>
      <c r="F44" s="37" t="s">
        <v>2485</v>
      </c>
      <c r="G44" s="34"/>
    </row>
    <row r="45" spans="1:7" ht="157.5">
      <c r="A45" s="368"/>
      <c r="B45" s="240">
        <v>5</v>
      </c>
      <c r="C45" s="179" t="s">
        <v>2305</v>
      </c>
      <c r="D45" s="192">
        <v>42867</v>
      </c>
      <c r="E45" s="200" t="s">
        <v>12917</v>
      </c>
      <c r="F45" s="37" t="s">
        <v>12639</v>
      </c>
      <c r="G45" s="34"/>
    </row>
    <row r="46" spans="1:7" ht="45">
      <c r="A46" s="368"/>
      <c r="B46" s="191">
        <v>5.01</v>
      </c>
      <c r="C46" s="179" t="s">
        <v>2305</v>
      </c>
      <c r="D46" s="192">
        <v>42907</v>
      </c>
      <c r="E46" s="200" t="s">
        <v>12935</v>
      </c>
      <c r="F46" s="37" t="s">
        <v>12639</v>
      </c>
      <c r="G46" s="34"/>
    </row>
    <row r="47" spans="1:7" ht="67.5">
      <c r="A47" s="368"/>
      <c r="B47" s="191">
        <v>5.0999999999999996</v>
      </c>
      <c r="C47" s="179" t="s">
        <v>2305</v>
      </c>
      <c r="D47" s="192">
        <v>43070</v>
      </c>
      <c r="E47" s="200" t="s">
        <v>13129</v>
      </c>
      <c r="F47" s="37" t="s">
        <v>13130</v>
      </c>
      <c r="G47" s="34"/>
    </row>
    <row r="48" spans="1:7" ht="56.25">
      <c r="A48" s="368"/>
      <c r="B48" s="191">
        <v>5.1100000000000003</v>
      </c>
      <c r="C48" s="179" t="s">
        <v>13371</v>
      </c>
      <c r="D48" s="192">
        <v>43217</v>
      </c>
      <c r="E48" s="200" t="s">
        <v>13499</v>
      </c>
      <c r="F48" s="37" t="s">
        <v>13405</v>
      </c>
      <c r="G48" s="34"/>
    </row>
    <row r="49" spans="1:7" ht="56.25">
      <c r="A49" s="368"/>
      <c r="B49" s="191">
        <v>5.12</v>
      </c>
      <c r="C49" s="179" t="s">
        <v>13371</v>
      </c>
      <c r="D49" s="192">
        <v>43581</v>
      </c>
      <c r="E49" s="200" t="s">
        <v>13499</v>
      </c>
      <c r="F49" s="37" t="s">
        <v>14064</v>
      </c>
      <c r="G49" s="34"/>
    </row>
    <row r="50" spans="1:7" ht="78.75">
      <c r="A50" s="368"/>
      <c r="B50" s="240">
        <v>6</v>
      </c>
      <c r="C50" s="179" t="s">
        <v>13371</v>
      </c>
      <c r="D50" s="192">
        <v>43964</v>
      </c>
      <c r="E50" s="200" t="s">
        <v>14291</v>
      </c>
      <c r="F50" s="37" t="s">
        <v>14074</v>
      </c>
      <c r="G50" s="34"/>
    </row>
    <row r="51" spans="1:7" ht="45">
      <c r="A51" s="368"/>
      <c r="B51" s="191">
        <v>6.01</v>
      </c>
      <c r="C51" s="179" t="s">
        <v>13371</v>
      </c>
      <c r="D51" s="192">
        <v>43970</v>
      </c>
      <c r="E51" s="200" t="s">
        <v>15309</v>
      </c>
      <c r="F51" s="200" t="s">
        <v>14074</v>
      </c>
      <c r="G51" s="34"/>
    </row>
    <row r="52" spans="1:7" ht="45">
      <c r="A52" s="368"/>
      <c r="B52" s="191">
        <v>6.1</v>
      </c>
      <c r="C52" s="179" t="s">
        <v>13371</v>
      </c>
      <c r="D52" s="192">
        <v>44314</v>
      </c>
      <c r="E52" s="200" t="s">
        <v>15314</v>
      </c>
      <c r="F52" s="200" t="s">
        <v>15319</v>
      </c>
      <c r="G52" s="34"/>
    </row>
    <row r="53" spans="1:7" ht="13.5" thickBot="1">
      <c r="A53" s="369"/>
      <c r="B53" s="370" t="str">
        <f ca="1">OFFSET(L!$C$1,MATCH("General"&amp;"Cpy",L!$A:$A,0)-1,SL,,)</f>
        <v>© 2021 Responsible Minerals Initiative. All rights reserved.</v>
      </c>
      <c r="C53" s="370"/>
      <c r="D53" s="370"/>
      <c r="E53" s="370"/>
      <c r="F53" s="370"/>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9"/>
      <c r="B1" s="390"/>
      <c r="C1" s="390"/>
      <c r="D1" s="391"/>
    </row>
    <row r="2" spans="1:5" ht="71.25" customHeight="1">
      <c r="A2" s="87"/>
      <c r="B2" s="166" t="str">
        <f ca="1">OFFSET(L!$C$1,MATCH("Definitions"&amp;ADDRESS(ROW(),COLUMN(),4),L!$A:$A,0)-1,SL,,)</f>
        <v>ITEM</v>
      </c>
      <c r="C2" s="166" t="str">
        <f ca="1">OFFSET(L!$C$1,MATCH("Definitions"&amp;ADDRESS(ROW(),COLUMN(),4),L!$A:$A,0)-1,SL,,)</f>
        <v>DEFINITION</v>
      </c>
      <c r="D2" s="393"/>
      <c r="E2" s="127"/>
    </row>
    <row r="3" spans="1:5" ht="63.95" customHeight="1">
      <c r="A3" s="87"/>
      <c r="B3" s="74" t="str">
        <f ca="1">OFFSET(L!$C$1,MATCH("Definitions"&amp;ADDRESS(ROW(),COLUMN(),4),L!$A:$A,0)-1,SL,,)</f>
        <v>3TG</v>
      </c>
      <c r="C3" s="74" t="str">
        <f ca="1">OFFSET(L!$C$1,MATCH("Definitions"&amp;ADDRESS(ROW(),COLUMN(),4),L!$A:$A,0)-1,SL,,)</f>
        <v>Tantalum, tin, tungsten, gold</v>
      </c>
      <c r="D3" s="39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3"/>
      <c r="E9" s="128" t="s">
        <v>1313</v>
      </c>
    </row>
    <row r="10" spans="1:5" ht="45">
      <c r="A10" s="87"/>
      <c r="B10" s="74" t="str">
        <f ca="1">OFFSET(L!$C$1,MATCH("Definitions"&amp;ADDRESS(ROW(),COLUMN(),4),L!$A:$A,0)-1,SL,,)</f>
        <v>DRC</v>
      </c>
      <c r="C10" s="74" t="str">
        <f ca="1">OFFSET(L!$C$1,MATCH("Definitions"&amp;ADDRESS(ROW(),COLUMN(),4),L!$A:$A,0)-1,SL,,)</f>
        <v>Democratic Republic of Congo</v>
      </c>
      <c r="D10" s="39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9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3"/>
      <c r="E20" s="128"/>
    </row>
    <row r="21" spans="1:5" ht="15">
      <c r="A21" s="87"/>
      <c r="B21" s="74" t="str">
        <f ca="1">OFFSET(L!$C$1,MATCH("Definitions"&amp;ADDRESS(ROW(),COLUMN(),4),L!$A:$A,0)-1,SL,,)</f>
        <v>RBA</v>
      </c>
      <c r="C21" s="74" t="str">
        <f ca="1">OFFSET(L!$C$1,MATCH("Definitions"&amp;ADDRESS(ROW(),COLUMN(),4),L!$A:$A,0)-1,SL,,)</f>
        <v>Responsible Business Alliance (www.responsiblebusiness.org)</v>
      </c>
      <c r="D21" s="39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9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3"/>
      <c r="E31" s="128"/>
    </row>
    <row r="32" spans="1:5" ht="15">
      <c r="A32" s="87"/>
      <c r="B32" s="392" t="str">
        <f ca="1">OFFSET(L!$C$1,MATCH("General"&amp;"Cpy",L!$A:$A,0)-1,SL,,)</f>
        <v>© 2021 Responsible Minerals Initiative. All rights reserved.</v>
      </c>
      <c r="C32" s="392"/>
      <c r="D32" s="393"/>
      <c r="E32" s="128"/>
    </row>
    <row r="33" spans="1:4" ht="13.5" thickBot="1">
      <c r="A33" s="88"/>
      <c r="B33" s="183"/>
      <c r="C33" s="183"/>
      <c r="D33" s="39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7"/>
      <c r="B1" s="428"/>
      <c r="C1" s="428"/>
      <c r="D1" s="428"/>
      <c r="E1" s="428"/>
      <c r="F1" s="428"/>
      <c r="G1" s="428"/>
      <c r="H1" s="428"/>
      <c r="I1" s="428"/>
      <c r="J1" s="428"/>
      <c r="K1" s="42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30" t="str">
        <f ca="1">OFFSET(L!$C$1,MATCH("Declaration"&amp;ADDRESS(ROW(),COLUMN(),4),L!$A:$A,0)-1,SL,,)</f>
        <v>Conflict Minerals Reporting Template (CMRT)</v>
      </c>
      <c r="E2" s="431"/>
      <c r="F2" s="431"/>
      <c r="G2" s="431"/>
      <c r="H2" s="431"/>
      <c r="I2" s="431"/>
      <c r="J2" s="43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40"/>
      <c r="G3" s="440"/>
      <c r="H3" s="440"/>
      <c r="I3" s="182"/>
      <c r="J3" s="167" t="s">
        <v>15318</v>
      </c>
      <c r="K3" s="47"/>
      <c r="L3" s="139"/>
      <c r="M3" s="130"/>
      <c r="N3" s="130"/>
      <c r="O3" s="131"/>
      <c r="P3" s="144">
        <f>MATCH($D$3,LN,0)</f>
        <v>1</v>
      </c>
    </row>
    <row r="4" spans="1:34" ht="15.75">
      <c r="A4" s="45"/>
      <c r="B4" s="436" t="str">
        <f ca="1">OFFSET(L!$C$1,MATCH("Declaration"&amp;ADDRESS(ROW(),COLUMN(),4),L!$A:$A,0)-1,SL,,)</f>
        <v>The purpose of this document is to collect sourcing information on tin, tantalum, tungsten and gold used in products</v>
      </c>
      <c r="C4" s="436"/>
      <c r="D4" s="436"/>
      <c r="E4" s="436"/>
      <c r="F4" s="436"/>
      <c r="G4" s="436"/>
      <c r="H4" s="436"/>
      <c r="I4" s="441" t="str">
        <f ca="1">OFFSET(L!$C$1,MATCH("Declaration"&amp;ADDRESS(ROW(),COLUMN(),4),L!$A:$A,0)-1,SL,,)</f>
        <v>Link to Terms &amp; Conditions</v>
      </c>
      <c r="J4" s="44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6" t="str">
        <f ca="1">OFFSET(L!$C$1,MATCH("Declaration"&amp;ADDRESS(ROW(),COLUMN(),4),L!$A:$A,0)-1,SL,,)</f>
        <v>Mandatory fields are noted with an asterisk (*).  Consult the instructions tab for guidance on how to answer each question.</v>
      </c>
      <c r="C6" s="436"/>
      <c r="D6" s="436"/>
      <c r="E6" s="436"/>
      <c r="F6" s="436"/>
      <c r="G6" s="436"/>
      <c r="H6" s="436"/>
      <c r="I6" s="436"/>
      <c r="J6" s="436"/>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45" t="str">
        <f ca="1">OFFSET(L!$C$1,MATCH("Declaration"&amp;ADDRESS(ROW(),COLUMN(),4),L!$A:$A,0)-1,SL,,)</f>
        <v>Company Information</v>
      </c>
      <c r="C7" s="445"/>
      <c r="D7" s="445"/>
      <c r="E7" s="445"/>
      <c r="F7" s="445"/>
      <c r="G7" s="445"/>
      <c r="H7" s="445"/>
      <c r="I7" s="445"/>
      <c r="J7" s="44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33" t="s">
        <v>15606</v>
      </c>
      <c r="E8" s="434"/>
      <c r="F8" s="434"/>
      <c r="G8" s="434"/>
      <c r="H8" s="434"/>
      <c r="I8" s="434"/>
      <c r="J8" s="43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2" t="s">
        <v>494</v>
      </c>
      <c r="E9" s="443"/>
      <c r="F9" s="443"/>
      <c r="G9" s="444"/>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46" t="str">
        <f ca="1">OFFSET(L!$C$1,MATCH("Declaration"&amp;ADDRESS(ROW(),COLUMN(),4)&amp;LEFT($D$9,1),L!$A:$A,0)-1,SL,,)</f>
        <v>Description of Scope:</v>
      </c>
      <c r="C10" s="151"/>
      <c r="D10" s="437"/>
      <c r="E10" s="438"/>
      <c r="F10" s="438"/>
      <c r="G10" s="438"/>
      <c r="H10" s="438"/>
      <c r="I10" s="438"/>
      <c r="J10" s="43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7"/>
      <c r="C11" s="151"/>
      <c r="D11" s="410" t="str">
        <f ca="1">IF(D9=Q9,OFFSET(L!$C$1,MATCH("Declaration"&amp;ADDRESS(ROW(),COLUMN(),4),L!$A:$A,0)-1,SL,,),"")</f>
        <v/>
      </c>
      <c r="E11" s="411"/>
      <c r="F11" s="411"/>
      <c r="G11" s="411"/>
      <c r="H11" s="411"/>
      <c r="I11" s="411"/>
      <c r="J11" s="41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9"/>
      <c r="E12" s="420"/>
      <c r="F12" s="420"/>
      <c r="G12" s="420"/>
      <c r="H12" s="420"/>
      <c r="I12" s="420"/>
      <c r="J12" s="42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9"/>
      <c r="E13" s="420"/>
      <c r="F13" s="420"/>
      <c r="G13" s="420"/>
      <c r="H13" s="420"/>
      <c r="I13" s="420"/>
      <c r="J13" s="42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9" t="s">
        <v>15607</v>
      </c>
      <c r="E14" s="420"/>
      <c r="F14" s="420"/>
      <c r="G14" s="420"/>
      <c r="H14" s="420"/>
      <c r="I14" s="420"/>
      <c r="J14" s="42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9" t="s">
        <v>15608</v>
      </c>
      <c r="E15" s="420"/>
      <c r="F15" s="420"/>
      <c r="G15" s="420"/>
      <c r="H15" s="420"/>
      <c r="I15" s="420"/>
      <c r="J15" s="42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04" t="s">
        <v>15609</v>
      </c>
      <c r="E16" s="422"/>
      <c r="F16" s="422"/>
      <c r="G16" s="422"/>
      <c r="H16" s="422"/>
      <c r="I16" s="422"/>
      <c r="J16" s="40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4" t="s">
        <v>15610</v>
      </c>
      <c r="E17" s="422"/>
      <c r="F17" s="422"/>
      <c r="G17" s="422"/>
      <c r="H17" s="422"/>
      <c r="I17" s="422"/>
      <c r="J17" s="40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4" t="s">
        <v>15611</v>
      </c>
      <c r="E18" s="422"/>
      <c r="F18" s="422"/>
      <c r="G18" s="422"/>
      <c r="H18" s="422"/>
      <c r="I18" s="422"/>
      <c r="J18" s="40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4" t="s">
        <v>15612</v>
      </c>
      <c r="E19" s="422"/>
      <c r="F19" s="422"/>
      <c r="G19" s="422"/>
      <c r="H19" s="422"/>
      <c r="I19" s="422"/>
      <c r="J19" s="40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7" t="s">
        <v>15613</v>
      </c>
      <c r="E20" s="438"/>
      <c r="F20" s="438"/>
      <c r="G20" s="438"/>
      <c r="H20" s="438"/>
      <c r="I20" s="438"/>
      <c r="J20" s="43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8" t="s">
        <v>15610</v>
      </c>
      <c r="E21" s="449"/>
      <c r="F21" s="449"/>
      <c r="G21" s="449"/>
      <c r="H21" s="449"/>
      <c r="I21" s="449"/>
      <c r="J21" s="45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51">
        <v>44655</v>
      </c>
      <c r="E22" s="45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3"/>
      <c r="E23" s="42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53" t="str">
        <f ca="1">OFFSET(L!$C$1,MATCH("Declaration"&amp;ADDRESS(ROW(),COLUMN(),4),L!$A:$A,0)-1,SL,,)</f>
        <v>Answer the following questions 1 - 8 based on the declaration scope indicated above</v>
      </c>
      <c r="C24" s="453"/>
      <c r="D24" s="453"/>
      <c r="E24" s="453"/>
      <c r="F24" s="453"/>
      <c r="G24" s="453"/>
      <c r="H24" s="453"/>
      <c r="I24" s="453"/>
      <c r="J24" s="45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9" t="str">
        <f ca="1">OFFSET(L!$C$1,MATCH("Declaration"&amp;ADDRESS(ROW(),COLUMN(),4),L!$A:$A,0)-1,SL,,)</f>
        <v>Answer</v>
      </c>
      <c r="E25" s="40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5" t="s">
        <v>489</v>
      </c>
      <c r="E26" s="396"/>
      <c r="F26" s="15"/>
      <c r="G26" s="397"/>
      <c r="H26" s="398"/>
      <c r="I26" s="398"/>
      <c r="J26" s="39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5" t="s">
        <v>488</v>
      </c>
      <c r="E27" s="396"/>
      <c r="F27" s="15"/>
      <c r="G27" s="397"/>
      <c r="H27" s="398"/>
      <c r="I27" s="398"/>
      <c r="J27" s="39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5" t="s">
        <v>488</v>
      </c>
      <c r="E28" s="396"/>
      <c r="F28" s="15"/>
      <c r="G28" s="397"/>
      <c r="H28" s="398"/>
      <c r="I28" s="398"/>
      <c r="J28" s="39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5" t="s">
        <v>489</v>
      </c>
      <c r="E29" s="396"/>
      <c r="F29" s="15"/>
      <c r="G29" s="397"/>
      <c r="H29" s="398"/>
      <c r="I29" s="398"/>
      <c r="J29" s="39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15" t="str">
        <f ca="1">D25</f>
        <v>Answer</v>
      </c>
      <c r="E31" s="415"/>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13"/>
      <c r="E32" s="414"/>
      <c r="F32" s="58"/>
      <c r="G32" s="397"/>
      <c r="H32" s="398"/>
      <c r="I32" s="398"/>
      <c r="J32" s="39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5" t="s">
        <v>488</v>
      </c>
      <c r="E33" s="396"/>
      <c r="F33" s="58"/>
      <c r="G33" s="397"/>
      <c r="H33" s="398"/>
      <c r="I33" s="398"/>
      <c r="J33" s="39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5" t="s">
        <v>488</v>
      </c>
      <c r="E34" s="396"/>
      <c r="F34" s="58"/>
      <c r="G34" s="397"/>
      <c r="H34" s="398"/>
      <c r="I34" s="398"/>
      <c r="J34" s="39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5"/>
      <c r="E35" s="396"/>
      <c r="F35" s="58"/>
      <c r="G35" s="397"/>
      <c r="H35" s="398"/>
      <c r="I35" s="398"/>
      <c r="J35" s="39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15" t="str">
        <f ca="1">D25</f>
        <v>Answer</v>
      </c>
      <c r="E37" s="415"/>
      <c r="F37" s="21"/>
      <c r="G37" s="55" t="str">
        <f ca="1">G25</f>
        <v>Comments</v>
      </c>
      <c r="H37" s="418"/>
      <c r="I37" s="418"/>
      <c r="J37" s="418"/>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5"/>
      <c r="E38" s="396"/>
      <c r="F38" s="58"/>
      <c r="G38" s="397"/>
      <c r="H38" s="398"/>
      <c r="I38" s="398"/>
      <c r="J38" s="39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5" t="s">
        <v>490</v>
      </c>
      <c r="E39" s="396"/>
      <c r="F39" s="58"/>
      <c r="G39" s="397"/>
      <c r="H39" s="398"/>
      <c r="I39" s="398"/>
      <c r="J39" s="39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5" t="s">
        <v>490</v>
      </c>
      <c r="E40" s="396"/>
      <c r="F40" s="58"/>
      <c r="G40" s="397"/>
      <c r="H40" s="398"/>
      <c r="I40" s="398"/>
      <c r="J40" s="39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5"/>
      <c r="E41" s="396"/>
      <c r="F41" s="58"/>
      <c r="G41" s="397"/>
      <c r="H41" s="398"/>
      <c r="I41" s="398"/>
      <c r="J41" s="39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15" t="str">
        <f ca="1">D25</f>
        <v>Answer</v>
      </c>
      <c r="E43" s="41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5"/>
      <c r="E44" s="396"/>
      <c r="F44" s="58"/>
      <c r="G44" s="397"/>
      <c r="H44" s="398"/>
      <c r="I44" s="398"/>
      <c r="J44" s="39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5" t="s">
        <v>490</v>
      </c>
      <c r="E45" s="396"/>
      <c r="F45" s="58"/>
      <c r="G45" s="397"/>
      <c r="H45" s="398"/>
      <c r="I45" s="398"/>
      <c r="J45" s="39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5" t="s">
        <v>490</v>
      </c>
      <c r="E46" s="396"/>
      <c r="F46" s="58"/>
      <c r="G46" s="397"/>
      <c r="H46" s="398"/>
      <c r="I46" s="398"/>
      <c r="J46" s="39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5"/>
      <c r="E47" s="396"/>
      <c r="F47" s="58"/>
      <c r="G47" s="397"/>
      <c r="H47" s="398"/>
      <c r="I47" s="398"/>
      <c r="J47" s="39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15" t="str">
        <f ca="1">D25</f>
        <v>Answer</v>
      </c>
      <c r="E49" s="41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5"/>
      <c r="E50" s="396"/>
      <c r="F50" s="58"/>
      <c r="G50" s="397"/>
      <c r="H50" s="398"/>
      <c r="I50" s="398"/>
      <c r="J50" s="39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5" t="s">
        <v>180</v>
      </c>
      <c r="E51" s="396"/>
      <c r="F51" s="58"/>
      <c r="G51" s="397"/>
      <c r="H51" s="398"/>
      <c r="I51" s="398"/>
      <c r="J51" s="39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5" t="s">
        <v>489</v>
      </c>
      <c r="E52" s="396"/>
      <c r="F52" s="58"/>
      <c r="G52" s="397"/>
      <c r="H52" s="398"/>
      <c r="I52" s="398"/>
      <c r="J52" s="39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5"/>
      <c r="E53" s="396"/>
      <c r="F53" s="58"/>
      <c r="G53" s="397"/>
      <c r="H53" s="398"/>
      <c r="I53" s="398"/>
      <c r="J53" s="39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15" t="str">
        <f ca="1">D25</f>
        <v>Answer</v>
      </c>
      <c r="E55" s="41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16"/>
      <c r="E56" s="417"/>
      <c r="F56" s="58"/>
      <c r="G56" s="397"/>
      <c r="H56" s="398"/>
      <c r="I56" s="398"/>
      <c r="J56" s="39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6" t="s">
        <v>2512</v>
      </c>
      <c r="E57" s="417"/>
      <c r="F57" s="58"/>
      <c r="G57" s="397"/>
      <c r="H57" s="398"/>
      <c r="I57" s="398"/>
      <c r="J57" s="39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6" t="s">
        <v>2512</v>
      </c>
      <c r="E58" s="417"/>
      <c r="F58" s="58"/>
      <c r="G58" s="397"/>
      <c r="H58" s="398"/>
      <c r="I58" s="398"/>
      <c r="J58" s="39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16"/>
      <c r="E59" s="417"/>
      <c r="F59" s="58"/>
      <c r="G59" s="397"/>
      <c r="H59" s="398"/>
      <c r="I59" s="398"/>
      <c r="J59" s="39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15" t="str">
        <f ca="1">D25</f>
        <v>Answer</v>
      </c>
      <c r="E61" s="415"/>
      <c r="F61" s="21"/>
      <c r="G61" s="55" t="str">
        <f ca="1">G25</f>
        <v>Comments</v>
      </c>
      <c r="H61" s="408"/>
      <c r="I61" s="408"/>
      <c r="J61" s="40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13"/>
      <c r="E62" s="414"/>
      <c r="F62" s="58"/>
      <c r="G62" s="397"/>
      <c r="H62" s="398"/>
      <c r="I62" s="398"/>
      <c r="J62" s="39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5" t="s">
        <v>489</v>
      </c>
      <c r="E63" s="396"/>
      <c r="F63" s="58"/>
      <c r="G63" s="397"/>
      <c r="H63" s="398"/>
      <c r="I63" s="398"/>
      <c r="J63" s="39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5" t="s">
        <v>489</v>
      </c>
      <c r="E64" s="396"/>
      <c r="F64" s="58"/>
      <c r="G64" s="397"/>
      <c r="H64" s="398"/>
      <c r="I64" s="398"/>
      <c r="J64" s="39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5"/>
      <c r="E65" s="396"/>
      <c r="F65" s="58"/>
      <c r="G65" s="397"/>
      <c r="H65" s="398"/>
      <c r="I65" s="398"/>
      <c r="J65" s="39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15" t="str">
        <f ca="1">D25</f>
        <v>Answer</v>
      </c>
      <c r="E67" s="415"/>
      <c r="F67" s="21"/>
      <c r="G67" s="55" t="str">
        <f ca="1">G25</f>
        <v>Comments</v>
      </c>
      <c r="H67" s="408" t="str">
        <f>IF(Q75="(*)","Click here to enter smelter names","")</f>
        <v/>
      </c>
      <c r="I67" s="408"/>
      <c r="J67" s="40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5"/>
      <c r="E68" s="396"/>
      <c r="F68" s="59"/>
      <c r="G68" s="397"/>
      <c r="H68" s="398"/>
      <c r="I68" s="398"/>
      <c r="J68" s="39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5" t="s">
        <v>488</v>
      </c>
      <c r="E69" s="396"/>
      <c r="F69" s="59"/>
      <c r="G69" s="397"/>
      <c r="H69" s="398"/>
      <c r="I69" s="398"/>
      <c r="J69" s="39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5" t="s">
        <v>488</v>
      </c>
      <c r="E70" s="396"/>
      <c r="F70" s="59"/>
      <c r="G70" s="397"/>
      <c r="H70" s="398"/>
      <c r="I70" s="398"/>
      <c r="J70" s="39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5"/>
      <c r="E71" s="396"/>
      <c r="F71" s="61"/>
      <c r="G71" s="397"/>
      <c r="H71" s="398"/>
      <c r="I71" s="398"/>
      <c r="J71" s="39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00" t="str">
        <f ca="1">OFFSET(L!$C$1,MATCH("Declaration"&amp;ADDRESS(ROW(),COLUMN(),4),L!$A:$A,0)-1,SL,,)</f>
        <v>Answer the Following Questions at a Company Level</v>
      </c>
      <c r="C73" s="400"/>
      <c r="D73" s="400"/>
      <c r="E73" s="400"/>
      <c r="F73" s="400"/>
      <c r="G73" s="400"/>
      <c r="H73" s="400"/>
      <c r="I73" s="400"/>
      <c r="J73" s="40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9" t="str">
        <f ca="1">D25</f>
        <v>Answer</v>
      </c>
      <c r="E74" s="409"/>
      <c r="F74" s="64"/>
      <c r="G74" s="409" t="str">
        <f ca="1">G25</f>
        <v>Comments</v>
      </c>
      <c r="H74" s="409" t="e">
        <f>HLOOKUP(SL,LT,$O74,0)</f>
        <v>#NAME?</v>
      </c>
      <c r="I74" s="40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5" t="s">
        <v>488</v>
      </c>
      <c r="E75" s="396"/>
      <c r="F75" s="68"/>
      <c r="G75" s="397"/>
      <c r="H75" s="398"/>
      <c r="I75" s="398"/>
      <c r="J75" s="39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6"/>
      <c r="H76" s="406"/>
      <c r="I76" s="406"/>
      <c r="J76" s="40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5" t="s">
        <v>488</v>
      </c>
      <c r="E77" s="396"/>
      <c r="F77" s="68"/>
      <c r="G77" s="424" t="s">
        <v>15614</v>
      </c>
      <c r="H77" s="425"/>
      <c r="I77" s="425"/>
      <c r="J77" s="42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5" t="s">
        <v>488</v>
      </c>
      <c r="E79" s="396"/>
      <c r="F79" s="68"/>
      <c r="G79" s="397"/>
      <c r="H79" s="398"/>
      <c r="I79" s="398"/>
      <c r="J79" s="39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5" t="s">
        <v>488</v>
      </c>
      <c r="E81" s="396"/>
      <c r="F81" s="68"/>
      <c r="G81" s="397"/>
      <c r="H81" s="398"/>
      <c r="I81" s="398"/>
      <c r="J81" s="39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5" t="s">
        <v>15250</v>
      </c>
      <c r="E83" s="396"/>
      <c r="F83" s="68"/>
      <c r="G83" s="397"/>
      <c r="H83" s="398"/>
      <c r="I83" s="398"/>
      <c r="J83" s="39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4" t="s">
        <v>488</v>
      </c>
      <c r="E85" s="405"/>
      <c r="F85" s="68"/>
      <c r="G85" s="397"/>
      <c r="H85" s="398"/>
      <c r="I85" s="398"/>
      <c r="J85" s="39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6"/>
      <c r="H86" s="406"/>
      <c r="I86" s="406"/>
      <c r="J86" s="40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5" t="s">
        <v>488</v>
      </c>
      <c r="E87" s="396"/>
      <c r="F87" s="68"/>
      <c r="G87" s="397"/>
      <c r="H87" s="398"/>
      <c r="I87" s="398"/>
      <c r="J87" s="39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7"/>
      <c r="H88" s="407"/>
      <c r="I88" s="407"/>
      <c r="J88" s="40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5" t="s">
        <v>14215</v>
      </c>
      <c r="E89" s="396"/>
      <c r="F89" s="68"/>
      <c r="G89" s="397"/>
      <c r="H89" s="398"/>
      <c r="I89" s="398"/>
      <c r="J89" s="39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3" t="str">
        <f>IF(OR($D$8="",$I$3=""),"","Click here to check required fields completion")</f>
        <v/>
      </c>
      <c r="C90" s="403"/>
      <c r="D90" s="403"/>
      <c r="E90" s="403"/>
      <c r="F90" s="403"/>
      <c r="G90" s="403"/>
      <c r="H90" s="403"/>
      <c r="I90" s="403"/>
      <c r="J90" s="40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1" t="str">
        <f ca="1">OFFSET(L!$C$1,MATCH("General"&amp;"Cpy",L!$A:$A,0)-1,SL,,)</f>
        <v>© 2021 Responsible Minerals Initiative. All rights reserved.</v>
      </c>
      <c r="B91" s="402"/>
      <c r="C91" s="402"/>
      <c r="D91" s="402"/>
      <c r="E91" s="402"/>
      <c r="F91" s="402"/>
      <c r="G91" s="402"/>
      <c r="H91" s="402"/>
      <c r="I91" s="402"/>
      <c r="J91" s="40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41" priority="70" stopIfTrue="1">
      <formula>AND(OR($D$26="No",AND($D$26="Yes",$D$32="No")),OR($D$27="No",AND($D$27="Yes",$D$33="No")),OR($D$28="No",AND($D$28="Yes",$D$34="No")),OR($D$29="No",AND($D$29="Yes",$D$35="No")))</formula>
    </cfRule>
    <cfRule type="expression" dxfId="140" priority="71" stopIfTrue="1">
      <formula>IF(D75="",TRUE)</formula>
    </cfRule>
  </conditionalFormatting>
  <conditionalFormatting sqref="D26:E26">
    <cfRule type="expression" dxfId="139" priority="122" stopIfTrue="1">
      <formula>IF($D$26="",TRUE)</formula>
    </cfRule>
  </conditionalFormatting>
  <conditionalFormatting sqref="D27:E27">
    <cfRule type="expression" dxfId="138" priority="129" stopIfTrue="1">
      <formula>IF($D$27="",TRUE)</formula>
    </cfRule>
  </conditionalFormatting>
  <conditionalFormatting sqref="D28:E28">
    <cfRule type="expression" dxfId="137" priority="130" stopIfTrue="1">
      <formula>IF($D$28="",TRUE)</formula>
    </cfRule>
  </conditionalFormatting>
  <conditionalFormatting sqref="D29:E29">
    <cfRule type="expression" dxfId="136" priority="131" stopIfTrue="1">
      <formula>IF($D$29="",TRUE)</formula>
    </cfRule>
  </conditionalFormatting>
  <conditionalFormatting sqref="D9:G9">
    <cfRule type="expression" dxfId="135" priority="137" stopIfTrue="1">
      <formula>IF($D$9="",TRUE)</formula>
    </cfRule>
  </conditionalFormatting>
  <conditionalFormatting sqref="D22:E22">
    <cfRule type="expression" dxfId="134" priority="144" stopIfTrue="1">
      <formula>IF($D$22="",TRUE)</formula>
    </cfRule>
  </conditionalFormatting>
  <conditionalFormatting sqref="D10:J10">
    <cfRule type="expression" dxfId="133" priority="41" stopIfTrue="1">
      <formula>IF($D$9=$Q$9,TRUE)</formula>
    </cfRule>
    <cfRule type="expression" dxfId="132" priority="151" stopIfTrue="1">
      <formula>IF(AND($D$10="",$D$9=$R$9),TRUE)</formula>
    </cfRule>
  </conditionalFormatting>
  <conditionalFormatting sqref="D34:E34 D40:E40 D52:E52 D58:E58 D64:E64 D70:E70">
    <cfRule type="expression" dxfId="131" priority="34" stopIfTrue="1">
      <formula>$P$28=""</formula>
    </cfRule>
  </conditionalFormatting>
  <conditionalFormatting sqref="D35:E35 D41:E41 D53:E53 D59:E59 D65:E65 D71:E71">
    <cfRule type="expression" dxfId="130" priority="149" stopIfTrue="1">
      <formula>$P$29=""</formula>
    </cfRule>
  </conditionalFormatting>
  <conditionalFormatting sqref="D32:E32">
    <cfRule type="expression" dxfId="129" priority="127" stopIfTrue="1">
      <formula>$P$26=""</formula>
    </cfRule>
  </conditionalFormatting>
  <conditionalFormatting sqref="D32:E32">
    <cfRule type="expression" dxfId="128" priority="40" stopIfTrue="1">
      <formula>IF(AND(OR($D$26="Yes",$D$26=""),$D$32=""),1,0)</formula>
    </cfRule>
  </conditionalFormatting>
  <conditionalFormatting sqref="D38 D50 D56 D62 D68">
    <cfRule type="expression" dxfId="127" priority="36" stopIfTrue="1">
      <formula>$P$32=""</formula>
    </cfRule>
  </conditionalFormatting>
  <conditionalFormatting sqref="D39:E39 D51 D57 D63 D69">
    <cfRule type="expression" dxfId="126" priority="35" stopIfTrue="1">
      <formula>$P$33=""</formula>
    </cfRule>
  </conditionalFormatting>
  <conditionalFormatting sqref="D40 D52 D58 D64 D70">
    <cfRule type="expression" dxfId="125" priority="25" stopIfTrue="1">
      <formula>$P$34=""</formula>
    </cfRule>
    <cfRule type="expression" dxfId="124" priority="147" stopIfTrue="1">
      <formula>IF(AND(OR($D$28="Yes",$D$28=""),D40=""),1,0)</formula>
    </cfRule>
  </conditionalFormatting>
  <conditionalFormatting sqref="D41 D53 D59 D65 D71">
    <cfRule type="expression" dxfId="123" priority="33" stopIfTrue="1">
      <formula>$P$35=""</formula>
    </cfRule>
  </conditionalFormatting>
  <conditionalFormatting sqref="D38:E38 D50:E50 D56:E56 D62:E62 D68:E68">
    <cfRule type="expression" dxfId="122" priority="38" stopIfTrue="1">
      <formula>$P$26=""</formula>
    </cfRule>
    <cfRule type="expression" dxfId="121" priority="39" stopIfTrue="1">
      <formula>IF(AND(OR($D$26="Yes",$D$26=""),D38=""),1,0)</formula>
    </cfRule>
  </conditionalFormatting>
  <conditionalFormatting sqref="G85:J85">
    <cfRule type="expression" dxfId="120" priority="32" stopIfTrue="1">
      <formula>IF(AND($D$85="Yes, using other format (describe)",$G$85=""),TRUE)</formula>
    </cfRule>
  </conditionalFormatting>
  <conditionalFormatting sqref="D39:E39 D51:E51 D57:E57 D63:E63 D69:E69">
    <cfRule type="expression" dxfId="119" priority="145" stopIfTrue="1">
      <formula>$P$39=""</formula>
    </cfRule>
    <cfRule type="expression" dxfId="118" priority="146" stopIfTrue="1">
      <formula>IF(AND(OR($D$27="Yes",$D$27=""),D39=""),1,0)</formula>
    </cfRule>
  </conditionalFormatting>
  <conditionalFormatting sqref="D33:E33">
    <cfRule type="expression" dxfId="117" priority="27" stopIfTrue="1">
      <formula>IF(AND(OR($D$27="Yes",$D$27=""),$D$33=""),1,0)</formula>
    </cfRule>
    <cfRule type="expression" dxfId="116" priority="28" stopIfTrue="1">
      <formula>$P$27=""</formula>
    </cfRule>
  </conditionalFormatting>
  <conditionalFormatting sqref="D34:E34">
    <cfRule type="expression" dxfId="115" priority="148" stopIfTrue="1">
      <formula>IF(AND(OR($D$28="Yes",$D$28=""),$D$34=""),1,0)</formula>
    </cfRule>
  </conditionalFormatting>
  <conditionalFormatting sqref="D41:E41 D53:E53 D59:E59 D65:E65 D71:E71">
    <cfRule type="expression" dxfId="114" priority="150" stopIfTrue="1">
      <formula>IF(AND(OR($D$29="Yes",$D$29=""),D41=""),1,0)</formula>
    </cfRule>
  </conditionalFormatting>
  <conditionalFormatting sqref="D35:E35">
    <cfRule type="expression" dxfId="113" priority="24" stopIfTrue="1">
      <formula>IF(AND(OR($D$29="Yes",$D$29=""),$D$35=""),1,0)</formula>
    </cfRule>
  </conditionalFormatting>
  <conditionalFormatting sqref="D46:E46">
    <cfRule type="expression" dxfId="112" priority="10" stopIfTrue="1">
      <formula>$P$28=""</formula>
    </cfRule>
  </conditionalFormatting>
  <conditionalFormatting sqref="D47:E47">
    <cfRule type="expression" dxfId="111" priority="18" stopIfTrue="1">
      <formula>$P$29=""</formula>
    </cfRule>
  </conditionalFormatting>
  <conditionalFormatting sqref="D44">
    <cfRule type="expression" dxfId="110" priority="12" stopIfTrue="1">
      <formula>$P$32=""</formula>
    </cfRule>
  </conditionalFormatting>
  <conditionalFormatting sqref="D45">
    <cfRule type="expression" dxfId="109" priority="11" stopIfTrue="1">
      <formula>$P$33=""</formula>
    </cfRule>
  </conditionalFormatting>
  <conditionalFormatting sqref="D46">
    <cfRule type="expression" dxfId="108" priority="8" stopIfTrue="1">
      <formula>$P$34=""</formula>
    </cfRule>
    <cfRule type="expression" dxfId="107" priority="17" stopIfTrue="1">
      <formula>IF(AND(OR($D$28="Yes",$D$28=""),D46=""),1,0)</formula>
    </cfRule>
  </conditionalFormatting>
  <conditionalFormatting sqref="D47">
    <cfRule type="expression" dxfId="106" priority="9" stopIfTrue="1">
      <formula>$P$35=""</formula>
    </cfRule>
  </conditionalFormatting>
  <conditionalFormatting sqref="D44:E44">
    <cfRule type="expression" dxfId="105" priority="13" stopIfTrue="1">
      <formula>$P$26=""</formula>
    </cfRule>
    <cfRule type="expression" dxfId="104" priority="14" stopIfTrue="1">
      <formula>IF(AND(OR($D$26="Yes",$D$26=""),D44=""),1,0)</formula>
    </cfRule>
  </conditionalFormatting>
  <conditionalFormatting sqref="D45:E45">
    <cfRule type="expression" dxfId="103" priority="15" stopIfTrue="1">
      <formula>$P$39=""</formula>
    </cfRule>
    <cfRule type="expression" dxfId="102" priority="16" stopIfTrue="1">
      <formula>IF(AND(OR($D$27="Yes",$D$27=""),D45=""),1,0)</formula>
    </cfRule>
  </conditionalFormatting>
  <conditionalFormatting sqref="D47:E47">
    <cfRule type="expression" dxfId="101" priority="19" stopIfTrue="1">
      <formula>IF(AND(OR($D$29="Yes",$D$29=""),D47=""),1,0)</formula>
    </cfRule>
  </conditionalFormatting>
  <conditionalFormatting sqref="D8:J8">
    <cfRule type="expression" dxfId="100" priority="7" stopIfTrue="1">
      <formula>IF($D$8="",TRUE)</formula>
    </cfRule>
  </conditionalFormatting>
  <conditionalFormatting sqref="D15:J15">
    <cfRule type="expression" dxfId="99" priority="3" stopIfTrue="1">
      <formula>IF($D$15="",TRUE)</formula>
    </cfRule>
  </conditionalFormatting>
  <conditionalFormatting sqref="D16:J16">
    <cfRule type="expression" dxfId="98" priority="4" stopIfTrue="1">
      <formula>IF($D$16="",TRUE)</formula>
    </cfRule>
  </conditionalFormatting>
  <conditionalFormatting sqref="D17:J17">
    <cfRule type="expression" dxfId="97" priority="5" stopIfTrue="1">
      <formula>IF($D$17="",TRUE)</formula>
    </cfRule>
  </conditionalFormatting>
  <conditionalFormatting sqref="D18:J18">
    <cfRule type="expression" dxfId="96" priority="6" stopIfTrue="1">
      <formula>IF($D$18="",TRUE)</formula>
    </cfRule>
  </conditionalFormatting>
  <conditionalFormatting sqref="D20:J20">
    <cfRule type="expression" dxfId="95" priority="2" stopIfTrue="1">
      <formula>IF($D$20="",TRUE)</formula>
    </cfRule>
  </conditionalFormatting>
  <conditionalFormatting sqref="G77:J77">
    <cfRule type="expression" dxfId="94"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5549D83-5E33-49AF-97BD-FBCE45BDD26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pane ySplit="4" topLeftCell="A5" activePane="bottomLeft" state="frozen"/>
      <selection pane="bottomLeft" activeCell="D5" sqref="D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4" t="str">
        <f ca="1">OFFSET(L!$C$1,MATCH("Smelter List"&amp;ADDRESS(ROW(),COLUMN(),4),L!$A:$A,0)-1,SL,,)</f>
        <v>Link to "RMAP Conformant Smelter List"</v>
      </c>
      <c r="K2" s="455"/>
      <c r="L2" s="455"/>
      <c r="M2" s="455"/>
      <c r="N2" s="455"/>
      <c r="O2" s="455"/>
      <c r="P2" s="231"/>
      <c r="Q2" s="232"/>
      <c r="R2" s="233"/>
      <c r="S2" s="233"/>
      <c r="T2" s="233"/>
      <c r="U2" s="262"/>
      <c r="V2" s="262"/>
      <c r="W2" s="263"/>
      <c r="X2" s="262"/>
      <c r="Y2" s="262"/>
      <c r="Z2" s="262"/>
      <c r="AH2" s="174" t="s">
        <v>488</v>
      </c>
    </row>
    <row r="3" spans="1:34" s="264" customFormat="1" ht="152.25" customHeight="1">
      <c r="A3" s="202"/>
      <c r="B3" s="45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6"/>
      <c r="D3" s="456"/>
      <c r="E3" s="456"/>
      <c r="F3" s="265"/>
      <c r="G3" s="457" t="str">
        <f ca="1">OFFSET(L!$C$1,MATCH("General"&amp;"Cpy",L!$A:$A,0)-1,SL,,)</f>
        <v>© 2021 Responsible Minerals Initiative. All rights reserved.</v>
      </c>
      <c r="H3" s="457"/>
      <c r="I3" s="45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774</v>
      </c>
      <c r="B5" s="215" t="str">
        <f ca="1">IF(LEN(A5)=0,"",INDEX('Smelter Look-up'!$A:$A,MATCH($A5,'Smelter Look-up'!$E:$E,0)))</f>
        <v>Tin</v>
      </c>
      <c r="C5" s="219" t="str">
        <f ca="1">IF(LEN(A5)=0,"",INDEX('Smelter Look-up'!$C:$C,MATCH($A5,'Smelter Look-up'!$E:$E,0)))</f>
        <v>Malaysia Smelting Corporation (MSC)</v>
      </c>
      <c r="D5" s="278"/>
      <c r="E5" s="215" t="str">
        <f ca="1">IF(ISERROR($V5),"",OFFSET('Smelter Look-up'!$D$4,$V5-4,0)&amp;"")</f>
        <v>MALAYSIA</v>
      </c>
      <c r="F5" s="215" t="str">
        <f ca="1">IF(ISERROR($V5),"",OFFSET('Smelter Look-up'!$E$4,$V5-4,0))</f>
        <v>CID001105</v>
      </c>
      <c r="G5" s="215" t="str">
        <f ca="1">IF(C5=$X$4,"Enter smelter details",IF(ISERROR($V5),"",OFFSET('Smelter Look-up'!$F$4,$V5-4,0)))</f>
        <v>RMI</v>
      </c>
      <c r="H5" s="216">
        <f ca="1">IF(ISERROR($V5),"",OFFSET('Smelter Look-up'!$G$4,$V5-4,0))</f>
        <v>0</v>
      </c>
      <c r="I5" s="217" t="str">
        <f ca="1">IF(ISERROR($V5),"",OFFSET('Smelter Look-up'!$H$4,$V5-4,0))</f>
        <v>Butterworth</v>
      </c>
      <c r="J5" s="217" t="str">
        <f ca="1">IF(ISERROR($V5),"",OFFSET('Smelter Look-up'!$I$4,$V5-4,0))</f>
        <v>Pulau Pinang</v>
      </c>
      <c r="K5" s="268"/>
      <c r="L5" s="268"/>
      <c r="M5" s="268"/>
      <c r="N5" s="268"/>
      <c r="O5" s="268"/>
      <c r="P5" s="218"/>
      <c r="Q5" s="269"/>
      <c r="R5" s="215" t="str">
        <f ca="1">IF(ISERROR($V5),"",OFFSET('Smelter Look-up'!$C$4,$V5-4,0)&amp;"")</f>
        <v>Malaysia Smelting Corporation (MSC)</v>
      </c>
      <c r="S5" s="222" t="str">
        <f t="shared" ref="S5" ca="1" si="0">IF(B5="","",IF(ISERROR(MATCH($E5,CL,0)),"Unknown",INDIRECT("'C'!$A$"&amp;MATCH($E5,CL,0)+1)))</f>
        <v>MY</v>
      </c>
      <c r="T5" s="222" t="str">
        <f ca="1">IF(B5="","",IF(ISERROR(MATCH($J5,SorP!$B$1:$B$6230,0)),"",INDIRECT("'SorP'!$A$"&amp;MATCH($J5,SorP!$B$1:$B$6230,0))))</f>
        <v>MY-07</v>
      </c>
      <c r="U5" s="238"/>
      <c r="V5" s="270">
        <f ca="1">IF(C5="",NA(),MATCH($B5&amp;$C5,'Smelter Look-up'!$J:$J,0))</f>
        <v>449</v>
      </c>
      <c r="W5" s="271"/>
      <c r="X5" s="271">
        <f t="shared" ref="X5" ca="1" si="1">IF(AND(C5="Smelter not listed",OR(LEN(D5)=0,LEN(E5)=0)),1,0)</f>
        <v>0</v>
      </c>
      <c r="Y5" s="271"/>
      <c r="Z5" s="271"/>
      <c r="AB5" s="273" t="str">
        <f t="shared" ref="AB5" ca="1" si="2">B5&amp;C5</f>
        <v>TinMalaysia Smelting Corporation (MSC)</v>
      </c>
    </row>
    <row r="6" spans="1:34" s="272" customFormat="1" ht="20.100000000000001" customHeight="1">
      <c r="A6" s="324" t="s">
        <v>776</v>
      </c>
      <c r="B6" s="215" t="str">
        <f ca="1">IF(LEN(A6)=0,"",INDEX('Smelter Look-up'!$A:$A,MATCH($A6,'Smelter Look-up'!$E:$E,0)))</f>
        <v>Tin</v>
      </c>
      <c r="C6" s="219" t="str">
        <f ca="1">IF(LEN(A6)=0,"",INDEX('Smelter Look-up'!$C:$C,MATCH($A6,'Smelter Look-up'!$E:$E,0)))</f>
        <v>Minsur</v>
      </c>
      <c r="D6" s="278"/>
      <c r="E6" s="215" t="str">
        <f ca="1">IF(ISERROR($V6),"",OFFSET('Smelter Look-up'!$D$4,$V6-4,0)&amp;"")</f>
        <v>PERU</v>
      </c>
      <c r="F6" s="215" t="str">
        <f ca="1">IF(ISERROR($V6),"",OFFSET('Smelter Look-up'!$E$4,$V6-4,0))</f>
        <v>CID001182</v>
      </c>
      <c r="G6" s="215" t="str">
        <f ca="1">IF(C6=$X$4,"Enter smelter details",IF(ISERROR($V6),"",OFFSET('Smelter Look-up'!$F$4,$V6-4,0)))</f>
        <v>RMI</v>
      </c>
      <c r="H6" s="216">
        <f ca="1">IF(ISERROR($V6),"",OFFSET('Smelter Look-up'!$G$4,$V6-4,0))</f>
        <v>0</v>
      </c>
      <c r="I6" s="217" t="str">
        <f ca="1">IF(ISERROR($V6),"",OFFSET('Smelter Look-up'!$H$4,$V6-4,0))</f>
        <v>Paracas</v>
      </c>
      <c r="J6" s="217" t="str">
        <f ca="1">IF(ISERROR($V6),"",OFFSET('Smelter Look-up'!$I$4,$V6-4,0))</f>
        <v>Ika</v>
      </c>
      <c r="K6" s="268"/>
      <c r="L6" s="268"/>
      <c r="M6" s="268"/>
      <c r="N6" s="268"/>
      <c r="O6" s="268"/>
      <c r="P6" s="218"/>
      <c r="Q6" s="269"/>
      <c r="R6" s="215" t="str">
        <f ca="1">IF(ISERROR($V6),"",OFFSET('Smelter Look-up'!$C$4,$V6-4,0)&amp;"")</f>
        <v>Minsur</v>
      </c>
      <c r="S6" s="222" t="str">
        <f t="shared" ref="S6:S36" ca="1" si="3">IF(B6="","",IF(ISERROR(MATCH($E6,CL,0)),"Unknown",INDIRECT("'C'!$A$"&amp;MATCH($E6,CL,0)+1)))</f>
        <v>PE</v>
      </c>
      <c r="T6" s="222" t="str">
        <f ca="1">IF(B6="","",IF(ISERROR(MATCH($J6,SorP!$B$1:$B$6230,0)),"",INDIRECT("'SorP'!$A$"&amp;MATCH($J6,SorP!$B$1:$B$6230,0))))</f>
        <v>PE-ICA</v>
      </c>
      <c r="U6" s="238"/>
      <c r="V6" s="270">
        <f ca="1">IF(C6="",NA(),MATCH($B6&amp;$C6,'Smelter Look-up'!$J:$J,0))</f>
        <v>460</v>
      </c>
      <c r="W6" s="271"/>
      <c r="X6" s="271">
        <f t="shared" ref="X6:X36" ca="1" si="4">IF(AND(C6="Smelter not listed",OR(LEN(D6)=0,LEN(E6)=0)),1,0)</f>
        <v>0</v>
      </c>
      <c r="Y6" s="271"/>
      <c r="Z6" s="271"/>
      <c r="AB6" s="273" t="str">
        <f t="shared" ref="AB6:AB36" ca="1" si="5">B6&amp;C6</f>
        <v>TinMinsur</v>
      </c>
    </row>
    <row r="7" spans="1:34" s="272" customFormat="1" ht="20.100000000000001" customHeight="1">
      <c r="A7" s="324" t="s">
        <v>783</v>
      </c>
      <c r="B7" s="215" t="str">
        <f ca="1">IF(LEN(A7)=0,"",INDEX('Smelter Look-up'!$A:$A,MATCH($A7,'Smelter Look-up'!$E:$E,0)))</f>
        <v>Tin</v>
      </c>
      <c r="C7" s="219" t="str">
        <f ca="1">IF(LEN(A7)=0,"",INDEX('Smelter Look-up'!$C:$C,MATCH($A7,'Smelter Look-up'!$E:$E,0)))</f>
        <v>PT Refined Bangka Tin</v>
      </c>
      <c r="D7" s="278"/>
      <c r="E7" s="215" t="str">
        <f ca="1">IF(ISERROR($V7),"",OFFSET('Smelter Look-up'!$D$4,$V7-4,0)&amp;"")</f>
        <v>INDONESIA</v>
      </c>
      <c r="F7" s="215" t="str">
        <f ca="1">IF(ISERROR($V7),"",OFFSET('Smelter Look-up'!$E$4,$V7-4,0))</f>
        <v>CID001460</v>
      </c>
      <c r="G7" s="215" t="str">
        <f ca="1">IF(C7=$X$4,"Enter smelter details",IF(ISERROR($V7),"",OFFSET('Smelter Look-up'!$F$4,$V7-4,0)))</f>
        <v>RMI</v>
      </c>
      <c r="H7" s="216">
        <f ca="1">IF(ISERROR($V7),"",OFFSET('Smelter Look-up'!$G$4,$V7-4,0))</f>
        <v>0</v>
      </c>
      <c r="I7" s="217" t="str">
        <f ca="1">IF(ISERROR($V7),"",OFFSET('Smelter Look-up'!$H$4,$V7-4,0))</f>
        <v>Sungailiat</v>
      </c>
      <c r="J7" s="217" t="str">
        <f ca="1">IF(ISERROR($V7),"",OFFSET('Smelter Look-up'!$I$4,$V7-4,0))</f>
        <v>Kepulauan Bangka Belitung</v>
      </c>
      <c r="K7" s="268"/>
      <c r="L7" s="268"/>
      <c r="M7" s="268"/>
      <c r="N7" s="268"/>
      <c r="O7" s="268"/>
      <c r="P7" s="218"/>
      <c r="Q7" s="269"/>
      <c r="R7" s="215" t="str">
        <f ca="1">IF(ISERROR($V7),"",OFFSET('Smelter Look-up'!$C$4,$V7-4,0)&amp;"")</f>
        <v>PT Refined Bangka Tin</v>
      </c>
      <c r="S7" s="222" t="str">
        <f t="shared" ca="1" si="3"/>
        <v>ID</v>
      </c>
      <c r="T7" s="222" t="str">
        <f ca="1">IF(B7="","",IF(ISERROR(MATCH($J7,SorP!$B$1:$B$6230,0)),"",INDIRECT("'SorP'!$A$"&amp;MATCH($J7,SorP!$B$1:$B$6230,0))))</f>
        <v>ID-BB</v>
      </c>
      <c r="U7" s="238"/>
      <c r="V7" s="270">
        <f ca="1">IF(C7="",NA(),MATCH($B7&amp;$C7,'Smelter Look-up'!$J:$J,0))</f>
        <v>487</v>
      </c>
      <c r="W7" s="271"/>
      <c r="X7" s="271">
        <f t="shared" ca="1" si="4"/>
        <v>0</v>
      </c>
      <c r="Y7" s="271"/>
      <c r="Z7" s="271"/>
      <c r="AB7" s="273" t="str">
        <f t="shared" ca="1" si="5"/>
        <v>TinPT Refined Bangka Tin</v>
      </c>
    </row>
    <row r="8" spans="1:34" s="272" customFormat="1" ht="20.100000000000001" customHeight="1">
      <c r="A8" s="324" t="s">
        <v>804</v>
      </c>
      <c r="B8" s="215" t="str">
        <f ca="1">IF(LEN(A8)=0,"",INDEX('Smelter Look-up'!$A:$A,MATCH($A8,'Smelter Look-up'!$E:$E,0)))</f>
        <v>Tin</v>
      </c>
      <c r="C8" s="219" t="str">
        <f ca="1">IF(LEN(A8)=0,"",INDEX('Smelter Look-up'!$C:$C,MATCH($A8,'Smelter Look-up'!$E:$E,0)))</f>
        <v>PT Timah Tbk Kundur</v>
      </c>
      <c r="D8" s="278"/>
      <c r="E8" s="215" t="str">
        <f ca="1">IF(ISERROR($V8),"",OFFSET('Smelter Look-up'!$D$4,$V8-4,0)&amp;"")</f>
        <v>INDONESIA</v>
      </c>
      <c r="F8" s="215" t="str">
        <f ca="1">IF(ISERROR($V8),"",OFFSET('Smelter Look-up'!$E$4,$V8-4,0))</f>
        <v>CID001477</v>
      </c>
      <c r="G8" s="215" t="str">
        <f ca="1">IF(C8=$X$4,"Enter smelter details",IF(ISERROR($V8),"",OFFSET('Smelter Look-up'!$F$4,$V8-4,0)))</f>
        <v>RMI</v>
      </c>
      <c r="H8" s="216">
        <f ca="1">IF(ISERROR($V8),"",OFFSET('Smelter Look-up'!$G$4,$V8-4,0))</f>
        <v>0</v>
      </c>
      <c r="I8" s="217" t="str">
        <f ca="1">IF(ISERROR($V8),"",OFFSET('Smelter Look-up'!$H$4,$V8-4,0))</f>
        <v>Kundur</v>
      </c>
      <c r="J8" s="217" t="str">
        <f ca="1">IF(ISERROR($V8),"",OFFSET('Smelter Look-up'!$I$4,$V8-4,0))</f>
        <v>Riau</v>
      </c>
      <c r="K8" s="268"/>
      <c r="L8" s="268"/>
      <c r="M8" s="268"/>
      <c r="N8" s="268"/>
      <c r="O8" s="268"/>
      <c r="P8" s="218"/>
      <c r="Q8" s="269"/>
      <c r="R8" s="215" t="str">
        <f ca="1">IF(ISERROR($V8),"",OFFSET('Smelter Look-up'!$C$4,$V8-4,0)&amp;"")</f>
        <v>PT Timah Tbk Kundur</v>
      </c>
      <c r="S8" s="222" t="str">
        <f t="shared" ca="1" si="3"/>
        <v>ID</v>
      </c>
      <c r="T8" s="222" t="str">
        <f ca="1">IF(B8="","",IF(ISERROR(MATCH($J8,SorP!$B$1:$B$6230,0)),"",INDIRECT("'SorP'!$A$"&amp;MATCH($J8,SorP!$B$1:$B$6230,0))))</f>
        <v>ID-RI</v>
      </c>
      <c r="U8" s="238"/>
      <c r="V8" s="270">
        <f ca="1">IF(C8="",NA(),MATCH($B8&amp;$C8,'Smelter Look-up'!$J:$J,0))</f>
        <v>491</v>
      </c>
      <c r="W8" s="271"/>
      <c r="X8" s="271">
        <f t="shared" ca="1" si="4"/>
        <v>0</v>
      </c>
      <c r="Y8" s="271"/>
      <c r="Z8" s="271"/>
      <c r="AB8" s="273" t="str">
        <f t="shared" ca="1" si="5"/>
        <v>TinPT Timah Tbk Kundur</v>
      </c>
    </row>
    <row r="9" spans="1:34" s="272" customFormat="1" ht="20.100000000000001" customHeight="1">
      <c r="A9" s="324" t="s">
        <v>788</v>
      </c>
      <c r="B9" s="215" t="str">
        <f ca="1">IF(LEN(A9)=0,"",INDEX('Smelter Look-up'!$A:$A,MATCH($A9,'Smelter Look-up'!$E:$E,0)))</f>
        <v>Tin</v>
      </c>
      <c r="C9" s="219" t="str">
        <f ca="1">IF(LEN(A9)=0,"",INDEX('Smelter Look-up'!$C:$C,MATCH($A9,'Smelter Look-up'!$E:$E,0)))</f>
        <v>Thaisarco</v>
      </c>
      <c r="D9" s="278"/>
      <c r="E9" s="215" t="str">
        <f ca="1">IF(ISERROR($V9),"",OFFSET('Smelter Look-up'!$D$4,$V9-4,0)&amp;"")</f>
        <v>THAILAND</v>
      </c>
      <c r="F9" s="215" t="str">
        <f ca="1">IF(ISERROR($V9),"",OFFSET('Smelter Look-up'!$E$4,$V9-4,0))</f>
        <v>CID001898</v>
      </c>
      <c r="G9" s="215" t="str">
        <f ca="1">IF(C9=$X$4,"Enter smelter details",IF(ISERROR($V9),"",OFFSET('Smelter Look-up'!$F$4,$V9-4,0)))</f>
        <v>RMI</v>
      </c>
      <c r="H9" s="216">
        <f ca="1">IF(ISERROR($V9),"",OFFSET('Smelter Look-up'!$G$4,$V9-4,0))</f>
        <v>0</v>
      </c>
      <c r="I9" s="217" t="str">
        <f ca="1">IF(ISERROR($V9),"",OFFSET('Smelter Look-up'!$H$4,$V9-4,0))</f>
        <v>Amphur Muang</v>
      </c>
      <c r="J9" s="217" t="str">
        <f ca="1">IF(ISERROR($V9),"",OFFSET('Smelter Look-up'!$I$4,$V9-4,0))</f>
        <v>Phuket</v>
      </c>
      <c r="K9" s="268"/>
      <c r="L9" s="268"/>
      <c r="M9" s="268"/>
      <c r="N9" s="268"/>
      <c r="O9" s="268"/>
      <c r="P9" s="218"/>
      <c r="Q9" s="269"/>
      <c r="R9" s="215" t="str">
        <f ca="1">IF(ISERROR($V9),"",OFFSET('Smelter Look-up'!$C$4,$V9-4,0)&amp;"")</f>
        <v>Thaisarco</v>
      </c>
      <c r="S9" s="222" t="str">
        <f t="shared" ca="1" si="3"/>
        <v>TH</v>
      </c>
      <c r="T9" s="222" t="str">
        <f ca="1">IF(B9="","",IF(ISERROR(MATCH($J9,SorP!$B$1:$B$6230,0)),"",INDIRECT("'SorP'!$A$"&amp;MATCH($J9,SorP!$B$1:$B$6230,0))))</f>
        <v>TH-83</v>
      </c>
      <c r="U9" s="238"/>
      <c r="V9" s="270">
        <f ca="1">IF(C9="",NA(),MATCH($B9&amp;$C9,'Smelter Look-up'!$J:$J,0))</f>
        <v>504</v>
      </c>
      <c r="W9" s="271"/>
      <c r="X9" s="271">
        <f t="shared" ca="1" si="4"/>
        <v>0</v>
      </c>
      <c r="Y9" s="271"/>
      <c r="Z9" s="271"/>
      <c r="AB9" s="273" t="str">
        <f t="shared" ca="1" si="5"/>
        <v>TinThaisarco</v>
      </c>
    </row>
    <row r="10" spans="1:34" s="272" customFormat="1" ht="20.100000000000001" customHeight="1">
      <c r="A10" s="324" t="s">
        <v>789</v>
      </c>
      <c r="B10" s="215" t="str">
        <f ca="1">IF(LEN(A10)=0,"",INDEX('Smelter Look-up'!$A:$A,MATCH($A10,'Smelter Look-up'!$E:$E,0)))</f>
        <v>Tin</v>
      </c>
      <c r="C10" s="219" t="str">
        <f ca="1">IF(LEN(A10)=0,"",INDEX('Smelter Look-up'!$C:$C,MATCH($A10,'Smelter Look-up'!$E:$E,0)))</f>
        <v>White Solder Metalurgia e Mineracao Ltda.</v>
      </c>
      <c r="D10" s="278"/>
      <c r="E10" s="215" t="str">
        <f ca="1">IF(ISERROR($V10),"",OFFSET('Smelter Look-up'!$D$4,$V10-4,0)&amp;"")</f>
        <v>BRAZIL</v>
      </c>
      <c r="F10" s="215" t="str">
        <f ca="1">IF(ISERROR($V10),"",OFFSET('Smelter Look-up'!$E$4,$V10-4,0))</f>
        <v>CID002036</v>
      </c>
      <c r="G10" s="215" t="str">
        <f ca="1">IF(C10=$X$4,"Enter smelter details",IF(ISERROR($V10),"",OFFSET('Smelter Look-up'!$F$4,$V10-4,0)))</f>
        <v>RMI</v>
      </c>
      <c r="H10" s="216">
        <f ca="1">IF(ISERROR($V10),"",OFFSET('Smelter Look-up'!$G$4,$V10-4,0))</f>
        <v>0</v>
      </c>
      <c r="I10" s="217" t="str">
        <f ca="1">IF(ISERROR($V10),"",OFFSET('Smelter Look-up'!$H$4,$V10-4,0))</f>
        <v>Ariquemes</v>
      </c>
      <c r="J10" s="217" t="str">
        <f ca="1">IF(ISERROR($V10),"",OFFSET('Smelter Look-up'!$I$4,$V10-4,0))</f>
        <v>Rondônia</v>
      </c>
      <c r="K10" s="268"/>
      <c r="L10" s="268"/>
      <c r="M10" s="268"/>
      <c r="N10" s="268"/>
      <c r="O10" s="268"/>
      <c r="P10" s="218"/>
      <c r="Q10" s="269"/>
      <c r="R10" s="215" t="str">
        <f ca="1">IF(ISERROR($V10),"",OFFSET('Smelter Look-up'!$C$4,$V10-4,0)&amp;"")</f>
        <v>White Solder Metalurgia e Mineracao Ltda.</v>
      </c>
      <c r="S10" s="222" t="str">
        <f t="shared" ca="1" si="3"/>
        <v>BR</v>
      </c>
      <c r="T10" s="222" t="str">
        <f ca="1">IF(B10="","",IF(ISERROR(MATCH($J10,SorP!$B$1:$B$6230,0)),"",INDIRECT("'SorP'!$A$"&amp;MATCH($J10,SorP!$B$1:$B$6230,0))))</f>
        <v>BR-RO</v>
      </c>
      <c r="U10" s="238"/>
      <c r="V10" s="270">
        <f ca="1">IF(C10="",NA(),MATCH($B10&amp;$C10,'Smelter Look-up'!$J:$J,0))</f>
        <v>512</v>
      </c>
      <c r="W10" s="271"/>
      <c r="X10" s="271">
        <f t="shared" ca="1" si="4"/>
        <v>0</v>
      </c>
      <c r="Y10" s="271"/>
      <c r="Z10" s="271"/>
      <c r="AB10" s="273" t="str">
        <f t="shared" ca="1" si="5"/>
        <v>TinWhite Solder Metalurgia e Mineracao Ltda.</v>
      </c>
    </row>
    <row r="11" spans="1:34" s="272" customFormat="1" ht="20.100000000000001" customHeight="1">
      <c r="A11" s="324" t="s">
        <v>791</v>
      </c>
      <c r="B11" s="215" t="str">
        <f ca="1">IF(LEN(A11)=0,"",INDEX('Smelter Look-up'!$A:$A,MATCH($A11,'Smelter Look-up'!$E:$E,0)))</f>
        <v>Tin</v>
      </c>
      <c r="C11" s="219" t="str">
        <f ca="1">IF(LEN(A11)=0,"",INDEX('Smelter Look-up'!$C:$C,MATCH($A11,'Smelter Look-up'!$E:$E,0)))</f>
        <v>Yunnan Tin Company Limited</v>
      </c>
      <c r="D11" s="278"/>
      <c r="E11" s="215" t="str">
        <f ca="1">IF(ISERROR($V11),"",OFFSET('Smelter Look-up'!$D$4,$V11-4,0)&amp;"")</f>
        <v>CHINA</v>
      </c>
      <c r="F11" s="215" t="str">
        <f ca="1">IF(ISERROR($V11),"",OFFSET('Smelter Look-up'!$E$4,$V11-4,0))</f>
        <v>CID002180</v>
      </c>
      <c r="G11" s="215" t="str">
        <f ca="1">IF(C11=$X$4,"Enter smelter details",IF(ISERROR($V11),"",OFFSET('Smelter Look-up'!$F$4,$V11-4,0)))</f>
        <v>RMI</v>
      </c>
      <c r="H11" s="216">
        <f ca="1">IF(ISERROR($V11),"",OFFSET('Smelter Look-up'!$G$4,$V11-4,0))</f>
        <v>0</v>
      </c>
      <c r="I11" s="217" t="str">
        <f ca="1">IF(ISERROR($V11),"",OFFSET('Smelter Look-up'!$H$4,$V11-4,0))</f>
        <v>Gejiu</v>
      </c>
      <c r="J11" s="217" t="str">
        <f ca="1">IF(ISERROR($V11),"",OFFSET('Smelter Look-up'!$I$4,$V11-4,0))</f>
        <v>Yunnan Sheng</v>
      </c>
      <c r="K11" s="268"/>
      <c r="L11" s="268"/>
      <c r="M11" s="268"/>
      <c r="N11" s="268"/>
      <c r="O11" s="268"/>
      <c r="P11" s="218"/>
      <c r="Q11" s="269"/>
      <c r="R11" s="215" t="str">
        <f ca="1">IF(ISERROR($V11),"",OFFSET('Smelter Look-up'!$C$4,$V11-4,0)&amp;"")</f>
        <v>Yunnan Tin Company Limited</v>
      </c>
      <c r="S11" s="222" t="str">
        <f t="shared" ca="1" si="3"/>
        <v>CN</v>
      </c>
      <c r="T11" s="222" t="str">
        <f ca="1">IF(B11="","",IF(ISERROR(MATCH($J11,SorP!$B$1:$B$6230,0)),"",INDIRECT("'SorP'!$A$"&amp;MATCH($J11,SorP!$B$1:$B$6230,0))))</f>
        <v>CN-YN</v>
      </c>
      <c r="U11" s="238"/>
      <c r="V11" s="270">
        <f ca="1">IF(C11="",NA(),MATCH($B11&amp;$C11,'Smelter Look-up'!$J:$J,0))</f>
        <v>524</v>
      </c>
      <c r="W11" s="271"/>
      <c r="X11" s="271">
        <f t="shared" ca="1" si="4"/>
        <v>0</v>
      </c>
      <c r="Y11" s="271"/>
      <c r="Z11" s="271"/>
      <c r="AB11" s="273" t="str">
        <f t="shared" ca="1" si="5"/>
        <v>TinYunnan Tin Company Limited</v>
      </c>
    </row>
    <row r="12" spans="1:34" s="272" customFormat="1" ht="20.100000000000001" customHeight="1">
      <c r="A12" s="324" t="s">
        <v>1830</v>
      </c>
      <c r="B12" s="215" t="str">
        <f ca="1">IF(LEN(A12)=0,"",INDEX('Smelter Look-up'!$A:$A,MATCH($A12,'Smelter Look-up'!$E:$E,0)))</f>
        <v>Tin</v>
      </c>
      <c r="C12" s="219" t="str">
        <f ca="1">IF(LEN(A12)=0,"",INDEX('Smelter Look-up'!$C:$C,MATCH($A12,'Smelter Look-up'!$E:$E,0)))</f>
        <v>Metallo Belgium N.V.</v>
      </c>
      <c r="D12" s="278"/>
      <c r="E12" s="215" t="str">
        <f ca="1">IF(ISERROR($V12),"",OFFSET('Smelter Look-up'!$D$4,$V12-4,0)&amp;"")</f>
        <v>BELGIUM</v>
      </c>
      <c r="F12" s="215" t="str">
        <f ca="1">IF(ISERROR($V12),"",OFFSET('Smelter Look-up'!$E$4,$V12-4,0))</f>
        <v>CID002773</v>
      </c>
      <c r="G12" s="215" t="str">
        <f ca="1">IF(C12=$X$4,"Enter smelter details",IF(ISERROR($V12),"",OFFSET('Smelter Look-up'!$F$4,$V12-4,0)))</f>
        <v>RMI</v>
      </c>
      <c r="H12" s="216">
        <f ca="1">IF(ISERROR($V12),"",OFFSET('Smelter Look-up'!$G$4,$V12-4,0))</f>
        <v>0</v>
      </c>
      <c r="I12" s="217" t="str">
        <f ca="1">IF(ISERROR($V12),"",OFFSET('Smelter Look-up'!$H$4,$V12-4,0))</f>
        <v>Beerse</v>
      </c>
      <c r="J12" s="217" t="str">
        <f ca="1">IF(ISERROR($V12),"",OFFSET('Smelter Look-up'!$I$4,$V12-4,0))</f>
        <v>Antwerpen</v>
      </c>
      <c r="K12" s="268"/>
      <c r="L12" s="268"/>
      <c r="M12" s="268"/>
      <c r="N12" s="268"/>
      <c r="O12" s="268"/>
      <c r="P12" s="218"/>
      <c r="Q12" s="269"/>
      <c r="R12" s="215" t="str">
        <f ca="1">IF(ISERROR($V12),"",OFFSET('Smelter Look-up'!$C$4,$V12-4,0)&amp;"")</f>
        <v>Metallo Belgium N.V.</v>
      </c>
      <c r="S12" s="222" t="str">
        <f t="shared" ca="1" si="3"/>
        <v>BE</v>
      </c>
      <c r="T12" s="222" t="str">
        <f ca="1">IF(B12="","",IF(ISERROR(MATCH($J12,SorP!$B$1:$B$6230,0)),"",INDIRECT("'SorP'!$A$"&amp;MATCH($J12,SorP!$B$1:$B$6230,0))))</f>
        <v>BE-VAN</v>
      </c>
      <c r="U12" s="238"/>
      <c r="V12" s="270">
        <f ca="1">IF(C12="",NA(),MATCH($B12&amp;$C12,'Smelter Look-up'!$J:$J,0))</f>
        <v>454</v>
      </c>
      <c r="W12" s="271"/>
      <c r="X12" s="271">
        <f t="shared" ca="1" si="4"/>
        <v>0</v>
      </c>
      <c r="Y12" s="271"/>
      <c r="Z12" s="271"/>
      <c r="AB12" s="273" t="str">
        <f t="shared" ca="1" si="5"/>
        <v>TinMetallo Belgium N.V.</v>
      </c>
    </row>
    <row r="13" spans="1:34" s="272" customFormat="1" ht="20.100000000000001" customHeight="1">
      <c r="A13" s="324" t="s">
        <v>13403</v>
      </c>
      <c r="B13" s="215" t="str">
        <f ca="1">IF(LEN(A13)=0,"",INDEX('Smelter Look-up'!$A:$A,MATCH($A13,'Smelter Look-up'!$E:$E,0)))</f>
        <v>Tin</v>
      </c>
      <c r="C13" s="219" t="str">
        <f ca="1">IF(LEN(A13)=0,"",INDEX('Smelter Look-up'!$C:$C,MATCH($A13,'Smelter Look-up'!$E:$E,0)))</f>
        <v>Tin Technology &amp; Refining</v>
      </c>
      <c r="D13" s="278"/>
      <c r="E13" s="215" t="str">
        <f ca="1">IF(ISERROR($V13),"",OFFSET('Smelter Look-up'!$D$4,$V13-4,0)&amp;"")</f>
        <v>UNITED STATES OF AMERICA</v>
      </c>
      <c r="F13" s="215" t="str">
        <f ca="1">IF(ISERROR($V13),"",OFFSET('Smelter Look-up'!$E$4,$V13-4,0))</f>
        <v>CID003325</v>
      </c>
      <c r="G13" s="215" t="str">
        <f ca="1">IF(C13=$X$4,"Enter smelter details",IF(ISERROR($V13),"",OFFSET('Smelter Look-up'!$F$4,$V13-4,0)))</f>
        <v>RMI</v>
      </c>
      <c r="H13" s="216">
        <f ca="1">IF(ISERROR($V13),"",OFFSET('Smelter Look-up'!$G$4,$V13-4,0))</f>
        <v>0</v>
      </c>
      <c r="I13" s="217" t="str">
        <f ca="1">IF(ISERROR($V13),"",OFFSET('Smelter Look-up'!$H$4,$V13-4,0))</f>
        <v>West Chester</v>
      </c>
      <c r="J13" s="217" t="str">
        <f ca="1">IF(ISERROR($V13),"",OFFSET('Smelter Look-up'!$I$4,$V13-4,0))</f>
        <v>Pennsylvania</v>
      </c>
      <c r="K13" s="268"/>
      <c r="L13" s="268"/>
      <c r="M13" s="268"/>
      <c r="N13" s="268"/>
      <c r="O13" s="268"/>
      <c r="P13" s="218"/>
      <c r="Q13" s="269"/>
      <c r="R13" s="215" t="str">
        <f ca="1">IF(ISERROR($V13),"",OFFSET('Smelter Look-up'!$C$4,$V13-4,0)&amp;"")</f>
        <v>Tin Technology &amp; Refining</v>
      </c>
      <c r="S13" s="222" t="str">
        <f t="shared" ca="1" si="3"/>
        <v>US</v>
      </c>
      <c r="T13" s="222" t="str">
        <f ca="1">IF(B13="","",IF(ISERROR(MATCH($J13,SorP!$B$1:$B$6230,0)),"",INDIRECT("'SorP'!$A$"&amp;MATCH($J13,SorP!$B$1:$B$6230,0))))</f>
        <v>US-PA</v>
      </c>
      <c r="U13" s="238"/>
      <c r="V13" s="270">
        <f ca="1">IF(C13="",NA(),MATCH($B13&amp;$C13,'Smelter Look-up'!$J:$J,0))</f>
        <v>507</v>
      </c>
      <c r="W13" s="271"/>
      <c r="X13" s="271">
        <f t="shared" ca="1" si="4"/>
        <v>0</v>
      </c>
      <c r="Y13" s="271"/>
      <c r="Z13" s="271"/>
      <c r="AB13" s="273" t="str">
        <f t="shared" ca="1" si="5"/>
        <v>TinTin Technology &amp; Refining</v>
      </c>
    </row>
    <row r="14" spans="1:34" s="272" customFormat="1" ht="20.100000000000001" customHeight="1">
      <c r="A14" s="324" t="s">
        <v>775</v>
      </c>
      <c r="B14" s="215" t="str">
        <f ca="1">IF(LEN(A14)=0,"",INDEX('Smelter Look-up'!$A:$A,MATCH($A14,'Smelter Look-up'!$E:$E,0)))</f>
        <v>Tin</v>
      </c>
      <c r="C14" s="219" t="str">
        <f ca="1">IF(LEN(A14)=0,"",INDEX('Smelter Look-up'!$C:$C,MATCH($A14,'Smelter Look-up'!$E:$E,0)))</f>
        <v>Mineracao Taboca S.A.</v>
      </c>
      <c r="D14" s="278"/>
      <c r="E14" s="215" t="str">
        <f ca="1">IF(ISERROR($V14),"",OFFSET('Smelter Look-up'!$D$4,$V14-4,0)&amp;"")</f>
        <v>BRAZIL</v>
      </c>
      <c r="F14" s="215" t="str">
        <f ca="1">IF(ISERROR($V14),"",OFFSET('Smelter Look-up'!$E$4,$V14-4,0))</f>
        <v>CID001173</v>
      </c>
      <c r="G14" s="215" t="str">
        <f ca="1">IF(C14=$X$4,"Enter smelter details",IF(ISERROR($V14),"",OFFSET('Smelter Look-up'!$F$4,$V14-4,0)))</f>
        <v>RMI</v>
      </c>
      <c r="H14" s="216">
        <f ca="1">IF(ISERROR($V14),"",OFFSET('Smelter Look-up'!$G$4,$V14-4,0))</f>
        <v>0</v>
      </c>
      <c r="I14" s="217" t="str">
        <f ca="1">IF(ISERROR($V14),"",OFFSET('Smelter Look-up'!$H$4,$V14-4,0))</f>
        <v>Bairro Guarapiranga</v>
      </c>
      <c r="J14" s="217" t="str">
        <f ca="1">IF(ISERROR($V14),"",OFFSET('Smelter Look-up'!$I$4,$V14-4,0))</f>
        <v>São Paulo</v>
      </c>
      <c r="K14" s="268"/>
      <c r="L14" s="268"/>
      <c r="M14" s="268"/>
      <c r="N14" s="268"/>
      <c r="O14" s="268"/>
      <c r="P14" s="218"/>
      <c r="Q14" s="269"/>
      <c r="R14" s="215" t="str">
        <f ca="1">IF(ISERROR($V14),"",OFFSET('Smelter Look-up'!$C$4,$V14-4,0)&amp;"")</f>
        <v>Mineracao Taboca S.A.</v>
      </c>
      <c r="S14" s="222" t="str">
        <f t="shared" ca="1" si="3"/>
        <v>BR</v>
      </c>
      <c r="T14" s="222" t="str">
        <f ca="1">IF(B14="","",IF(ISERROR(MATCH($J14,SorP!$B$1:$B$6230,0)),"",INDIRECT("'SorP'!$A$"&amp;MATCH($J14,SorP!$B$1:$B$6230,0))))</f>
        <v>BR-SP</v>
      </c>
      <c r="U14" s="238"/>
      <c r="V14" s="270">
        <f ca="1">IF(C14="",NA(),MATCH($B14&amp;$C14,'Smelter Look-up'!$J:$J,0))</f>
        <v>456</v>
      </c>
      <c r="W14" s="271"/>
      <c r="X14" s="271">
        <f t="shared" ca="1" si="4"/>
        <v>0</v>
      </c>
      <c r="Y14" s="271"/>
      <c r="Z14" s="271"/>
      <c r="AB14" s="273" t="str">
        <f t="shared" ca="1" si="5"/>
        <v>TinMineracao Taboca S.A.</v>
      </c>
    </row>
    <row r="15" spans="1:34" s="272" customFormat="1" ht="20.100000000000001" customHeight="1">
      <c r="A15" s="324" t="s">
        <v>784</v>
      </c>
      <c r="B15" s="215" t="str">
        <f ca="1">IF(LEN(A15)=0,"",INDEX('Smelter Look-up'!$A:$A,MATCH($A15,'Smelter Look-up'!$E:$E,0)))</f>
        <v>Tin</v>
      </c>
      <c r="C15" s="219" t="str">
        <f ca="1">IF(LEN(A15)=0,"",INDEX('Smelter Look-up'!$C:$C,MATCH($A15,'Smelter Look-up'!$E:$E,0)))</f>
        <v>PT Timah Tbk Mentok</v>
      </c>
      <c r="D15" s="278"/>
      <c r="E15" s="215" t="str">
        <f ca="1">IF(ISERROR($V15),"",OFFSET('Smelter Look-up'!$D$4,$V15-4,0)&amp;"")</f>
        <v>INDONESIA</v>
      </c>
      <c r="F15" s="215" t="str">
        <f ca="1">IF(ISERROR($V15),"",OFFSET('Smelter Look-up'!$E$4,$V15-4,0))</f>
        <v>CID001482</v>
      </c>
      <c r="G15" s="215" t="str">
        <f ca="1">IF(C15=$X$4,"Enter smelter details",IF(ISERROR($V15),"",OFFSET('Smelter Look-up'!$F$4,$V15-4,0)))</f>
        <v>RMI</v>
      </c>
      <c r="H15" s="216">
        <f ca="1">IF(ISERROR($V15),"",OFFSET('Smelter Look-up'!$G$4,$V15-4,0))</f>
        <v>0</v>
      </c>
      <c r="I15" s="217" t="str">
        <f ca="1">IF(ISERROR($V15),"",OFFSET('Smelter Look-up'!$H$4,$V15-4,0))</f>
        <v>Mentok</v>
      </c>
      <c r="J15" s="217" t="str">
        <f ca="1">IF(ISERROR($V15),"",OFFSET('Smelter Look-up'!$I$4,$V15-4,0))</f>
        <v>Kepulauan Bangka Belitung</v>
      </c>
      <c r="K15" s="268"/>
      <c r="L15" s="268"/>
      <c r="M15" s="268"/>
      <c r="N15" s="268"/>
      <c r="O15" s="268"/>
      <c r="P15" s="218"/>
      <c r="Q15" s="269"/>
      <c r="R15" s="215" t="str">
        <f ca="1">IF(ISERROR($V15),"",OFFSET('Smelter Look-up'!$C$4,$V15-4,0)&amp;"")</f>
        <v>PT Timah Tbk Mentok</v>
      </c>
      <c r="S15" s="222" t="str">
        <f t="shared" ca="1" si="3"/>
        <v>ID</v>
      </c>
      <c r="T15" s="222" t="str">
        <f ca="1">IF(B15="","",IF(ISERROR(MATCH($J15,SorP!$B$1:$B$6230,0)),"",INDIRECT("'SorP'!$A$"&amp;MATCH($J15,SorP!$B$1:$B$6230,0))))</f>
        <v>ID-BB</v>
      </c>
      <c r="U15" s="238"/>
      <c r="V15" s="270">
        <f ca="1">IF(C15="",NA(),MATCH($B15&amp;$C15,'Smelter Look-up'!$J:$J,0))</f>
        <v>492</v>
      </c>
      <c r="W15" s="271"/>
      <c r="X15" s="271">
        <f t="shared" ca="1" si="4"/>
        <v>0</v>
      </c>
      <c r="Y15" s="271"/>
      <c r="Z15" s="271"/>
      <c r="AB15" s="273" t="str">
        <f t="shared" ca="1" si="5"/>
        <v>TinPT Timah Tbk Mentok</v>
      </c>
    </row>
    <row r="16" spans="1:34" s="272" customFormat="1" ht="20.100000000000001" customHeight="1">
      <c r="A16" s="324" t="s">
        <v>780</v>
      </c>
      <c r="B16" s="215" t="str">
        <f ca="1">IF(LEN(A16)=0,"",INDEX('Smelter Look-up'!$A:$A,MATCH($A16,'Smelter Look-up'!$E:$E,0)))</f>
        <v>Tin</v>
      </c>
      <c r="C16" s="219" t="str">
        <f ca="1">IF(LEN(A16)=0,"",INDEX('Smelter Look-up'!$C:$C,MATCH($A16,'Smelter Look-up'!$E:$E,0)))</f>
        <v>Operaciones Metalurgicas S.A.</v>
      </c>
      <c r="D16" s="278"/>
      <c r="E16" s="215" t="str">
        <f ca="1">IF(ISERROR($V16),"",OFFSET('Smelter Look-up'!$D$4,$V16-4,0)&amp;"")</f>
        <v>BOLIVIA (PLURINATIONAL STATE OF)</v>
      </c>
      <c r="F16" s="215" t="str">
        <f ca="1">IF(ISERROR($V16),"",OFFSET('Smelter Look-up'!$E$4,$V16-4,0))</f>
        <v>CID001337</v>
      </c>
      <c r="G16" s="215" t="str">
        <f ca="1">IF(C16=$X$4,"Enter smelter details",IF(ISERROR($V16),"",OFFSET('Smelter Look-up'!$F$4,$V16-4,0)))</f>
        <v>RMI</v>
      </c>
      <c r="H16" s="216">
        <f ca="1">IF(ISERROR($V16),"",OFFSET('Smelter Look-up'!$G$4,$V16-4,0))</f>
        <v>0</v>
      </c>
      <c r="I16" s="217" t="str">
        <f ca="1">IF(ISERROR($V16),"",OFFSET('Smelter Look-up'!$H$4,$V16-4,0))</f>
        <v>Oruro</v>
      </c>
      <c r="J16" s="217" t="str">
        <f ca="1">IF(ISERROR($V16),"",OFFSET('Smelter Look-up'!$I$4,$V16-4,0))</f>
        <v>Oruro</v>
      </c>
      <c r="K16" s="268"/>
      <c r="L16" s="268"/>
      <c r="M16" s="268"/>
      <c r="N16" s="268"/>
      <c r="O16" s="268"/>
      <c r="P16" s="218"/>
      <c r="Q16" s="269"/>
      <c r="R16" s="215" t="str">
        <f ca="1">IF(ISERROR($V16),"",OFFSET('Smelter Look-up'!$C$4,$V16-4,0)&amp;"")</f>
        <v>Operaciones Metalurgicas S.A.</v>
      </c>
      <c r="S16" s="222" t="str">
        <f t="shared" ca="1" si="3"/>
        <v>BO</v>
      </c>
      <c r="T16" s="222" t="str">
        <f ca="1">IF(B16="","",IF(ISERROR(MATCH($J16,SorP!$B$1:$B$6230,0)),"",INDIRECT("'SorP'!$A$"&amp;MATCH($J16,SorP!$B$1:$B$6230,0))))</f>
        <v>BO-O</v>
      </c>
      <c r="U16" s="238"/>
      <c r="V16" s="270">
        <f ca="1">IF(C16="",NA(),MATCH($B16&amp;$C16,'Smelter Look-up'!$J:$J,0))</f>
        <v>471</v>
      </c>
      <c r="W16" s="271"/>
      <c r="X16" s="271">
        <f t="shared" ca="1" si="4"/>
        <v>0</v>
      </c>
      <c r="Y16" s="271"/>
      <c r="Z16" s="271"/>
      <c r="AB16" s="273" t="str">
        <f t="shared" ca="1" si="5"/>
        <v>TinOperaciones Metalurgicas S.A.</v>
      </c>
    </row>
    <row r="17" spans="1:28" s="272" customFormat="1" ht="20.100000000000001" customHeight="1">
      <c r="A17" s="324" t="s">
        <v>15402</v>
      </c>
      <c r="B17" s="215" t="str">
        <f ca="1">IF(LEN(A17)=0,"",INDEX('Smelter Look-up'!$A:$A,MATCH($A17,'Smelter Look-up'!$E:$E,0)))</f>
        <v>Tin</v>
      </c>
      <c r="C17" s="219" t="str">
        <f ca="1">IF(LEN(A17)=0,"",INDEX('Smelter Look-up'!$C:$C,MATCH($A17,'Smelter Look-up'!$E:$E,0)))</f>
        <v>PT Prima Timah Utama</v>
      </c>
      <c r="D17" s="278"/>
      <c r="E17" s="215" t="str">
        <f ca="1">IF(ISERROR($V17),"",OFFSET('Smelter Look-up'!$D$4,$V17-4,0)&amp;"")</f>
        <v>INDONESIA</v>
      </c>
      <c r="F17" s="215" t="str">
        <f ca="1">IF(ISERROR($V17),"",OFFSET('Smelter Look-up'!$E$4,$V17-4,0))</f>
        <v>CID001458</v>
      </c>
      <c r="G17" s="215" t="str">
        <f ca="1">IF(C17=$X$4,"Enter smelter details",IF(ISERROR($V17),"",OFFSET('Smelter Look-up'!$F$4,$V17-4,0)))</f>
        <v>RMI</v>
      </c>
      <c r="H17" s="216">
        <f ca="1">IF(ISERROR($V17),"",OFFSET('Smelter Look-up'!$G$4,$V17-4,0))</f>
        <v>0</v>
      </c>
      <c r="I17" s="217" t="str">
        <f ca="1">IF(ISERROR($V17),"",OFFSET('Smelter Look-up'!$H$4,$V17-4,0))</f>
        <v>Pangkal Pinang</v>
      </c>
      <c r="J17" s="217" t="str">
        <f ca="1">IF(ISERROR($V17),"",OFFSET('Smelter Look-up'!$I$4,$V17-4,0))</f>
        <v>Kepulauan Bangka Belitung</v>
      </c>
      <c r="K17" s="268"/>
      <c r="L17" s="268"/>
      <c r="M17" s="268"/>
      <c r="N17" s="268"/>
      <c r="O17" s="268"/>
      <c r="P17" s="218"/>
      <c r="Q17" s="269"/>
      <c r="R17" s="215" t="str">
        <f ca="1">IF(ISERROR($V17),"",OFFSET('Smelter Look-up'!$C$4,$V17-4,0)&amp;"")</f>
        <v>PT Prima Timah Utama</v>
      </c>
      <c r="S17" s="222" t="str">
        <f t="shared" ca="1" si="3"/>
        <v>ID</v>
      </c>
      <c r="T17" s="222" t="str">
        <f ca="1">IF(B17="","",IF(ISERROR(MATCH($J17,SorP!$B$1:$B$6230,0)),"",INDIRECT("'SorP'!$A$"&amp;MATCH($J17,SorP!$B$1:$B$6230,0))))</f>
        <v>ID-BB</v>
      </c>
      <c r="U17" s="238"/>
      <c r="V17" s="270">
        <f ca="1">IF(C17="",NA(),MATCH($B17&amp;$C17,'Smelter Look-up'!$J:$J,0))</f>
        <v>484</v>
      </c>
      <c r="W17" s="271"/>
      <c r="X17" s="271">
        <f t="shared" ca="1" si="4"/>
        <v>0</v>
      </c>
      <c r="Y17" s="271"/>
      <c r="Z17" s="271"/>
      <c r="AB17" s="273" t="str">
        <f t="shared" ca="1" si="5"/>
        <v>TinPT Prima Timah Utama</v>
      </c>
    </row>
    <row r="18" spans="1:28" s="272" customFormat="1" ht="102">
      <c r="A18" s="214" t="s">
        <v>790</v>
      </c>
      <c r="B18" s="215" t="str">
        <f ca="1">IF(LEN(A18)=0,"",INDEX('Smelter Look-up'!$A:$A,MATCH($A18,'Smelter Look-up'!$E:$E,0)))</f>
        <v>Tin</v>
      </c>
      <c r="C18" s="219" t="str">
        <f ca="1">IF(LEN(A18)=0,"",INDEX('Smelter Look-up'!$C:$C,MATCH($A18,'Smelter Look-up'!$E:$E,0)))</f>
        <v>Yunnan Chengfeng Non-ferrous Metals Co., Ltd.</v>
      </c>
      <c r="D18" s="278"/>
      <c r="E18" s="215" t="str">
        <f ca="1">IF(ISERROR($V18),"",OFFSET('Smelter Look-up'!$D$4,$V18-4,0)&amp;"")</f>
        <v>CHINA</v>
      </c>
      <c r="F18" s="215" t="str">
        <f ca="1">IF(ISERROR($V18),"",OFFSET('Smelter Look-up'!$E$4,$V18-4,0))</f>
        <v>CID002158</v>
      </c>
      <c r="G18" s="215" t="str">
        <f ca="1">IF(C18=$X$4,"Enter smelter details",IF(ISERROR($V18),"",OFFSET('Smelter Look-up'!$F$4,$V18-4,0)))</f>
        <v>RMI</v>
      </c>
      <c r="H18" s="216">
        <f ca="1">IF(ISERROR($V18),"",OFFSET('Smelter Look-up'!$G$4,$V18-4,0))</f>
        <v>0</v>
      </c>
      <c r="I18" s="217" t="str">
        <f ca="1">IF(ISERROR($V18),"",OFFSET('Smelter Look-up'!$H$4,$V18-4,0))</f>
        <v>Gejiu</v>
      </c>
      <c r="J18" s="217" t="str">
        <f ca="1">IF(ISERROR($V18),"",OFFSET('Smelter Look-up'!$I$4,$V18-4,0))</f>
        <v>Yunnan Sheng</v>
      </c>
      <c r="K18" s="268"/>
      <c r="L18" s="268"/>
      <c r="M18" s="268"/>
      <c r="N18" s="268"/>
      <c r="O18" s="268"/>
      <c r="P18" s="218"/>
      <c r="Q18" s="269"/>
      <c r="R18" s="215" t="str">
        <f ca="1">IF(ISERROR($V18),"",OFFSET('Smelter Look-up'!$C$4,$V18-4,0)&amp;"")</f>
        <v>Yunnan Chengfeng Non-ferrous Metals Co., Ltd.</v>
      </c>
      <c r="S18" s="222" t="str">
        <f t="shared" ca="1" si="3"/>
        <v>CN</v>
      </c>
      <c r="T18" s="222" t="str">
        <f ca="1">IF(B18="","",IF(ISERROR(MATCH($J18,SorP!$B$1:$B$6230,0)),"",INDIRECT("'SorP'!$A$"&amp;MATCH($J18,SorP!$B$1:$B$6230,0))))</f>
        <v>CN-YN</v>
      </c>
      <c r="U18" s="238"/>
      <c r="V18" s="270">
        <f ca="1">IF(C18="",NA(),MATCH($B18&amp;$C18,'Smelter Look-up'!$J:$J,0))</f>
        <v>520</v>
      </c>
      <c r="W18" s="271"/>
      <c r="X18" s="271">
        <f t="shared" ca="1" si="4"/>
        <v>0</v>
      </c>
      <c r="Y18" s="271"/>
      <c r="Z18" s="271"/>
      <c r="AB18" s="273" t="str">
        <f t="shared" ca="1" si="5"/>
        <v>TinYunnan Chengfeng Non-ferrous Metals Co., Ltd.</v>
      </c>
    </row>
    <row r="19" spans="1:28" s="272" customFormat="1" ht="23.25" customHeight="1">
      <c r="A19" s="214" t="s">
        <v>15615</v>
      </c>
      <c r="B19" s="215" t="s">
        <v>1131</v>
      </c>
      <c r="C19" s="358" t="s">
        <v>15646</v>
      </c>
      <c r="D19" s="278"/>
      <c r="E19" s="215" t="s">
        <v>1105</v>
      </c>
      <c r="F19" s="215" t="s">
        <v>15615</v>
      </c>
      <c r="G19" s="215" t="s">
        <v>13459</v>
      </c>
      <c r="H19" s="359">
        <v>0</v>
      </c>
      <c r="I19" s="360" t="s">
        <v>15438</v>
      </c>
      <c r="J19" s="360" t="s">
        <v>13066</v>
      </c>
      <c r="K19" s="268"/>
      <c r="L19" s="268"/>
      <c r="M19" s="268"/>
      <c r="N19" s="268"/>
      <c r="O19" s="268"/>
      <c r="P19" s="218"/>
      <c r="Q19" s="269"/>
      <c r="R19" s="215" t="str">
        <f ca="1">IF(ISERROR($V19),"",OFFSET('Smelter Look-up'!$C$4,$V19-4,0)&amp;"")</f>
        <v/>
      </c>
      <c r="S19" s="222" t="str">
        <f t="shared" ca="1" si="3"/>
        <v>ID</v>
      </c>
      <c r="T19" s="222" t="str">
        <f ca="1">IF(B19="","",IF(ISERROR(MATCH($J19,SorP!$B$1:$B$6230,0)),"",INDIRECT("'SorP'!$A$"&amp;MATCH($J19,SorP!$B$1:$B$6230,0))))</f>
        <v>ID-BB</v>
      </c>
      <c r="U19" s="238"/>
      <c r="V19" s="270" t="e">
        <f>IF(C19="",NA(),MATCH($B19&amp;$C19,'Smelter Look-up'!$J:$J,0))</f>
        <v>#N/A</v>
      </c>
      <c r="W19" s="271"/>
      <c r="X19" s="271">
        <f t="shared" si="4"/>
        <v>0</v>
      </c>
      <c r="Y19" s="271"/>
      <c r="Z19" s="271"/>
      <c r="AB19" s="273" t="str">
        <f t="shared" si="5"/>
        <v>TinPT Bukit Timah</v>
      </c>
    </row>
    <row r="20" spans="1:28" s="272" customFormat="1" ht="21" customHeight="1">
      <c r="A20" s="214" t="s">
        <v>15616</v>
      </c>
      <c r="B20" s="215" t="s">
        <v>1131</v>
      </c>
      <c r="C20" s="358" t="s">
        <v>15647</v>
      </c>
      <c r="D20" s="278"/>
      <c r="E20" s="215" t="s">
        <v>1105</v>
      </c>
      <c r="F20" s="215" t="s">
        <v>15616</v>
      </c>
      <c r="G20" s="215" t="s">
        <v>13459</v>
      </c>
      <c r="H20" s="359">
        <v>0</v>
      </c>
      <c r="I20" s="360" t="s">
        <v>15649</v>
      </c>
      <c r="J20" s="360" t="s">
        <v>13066</v>
      </c>
      <c r="K20" s="268"/>
      <c r="L20" s="268"/>
      <c r="M20" s="268"/>
      <c r="N20" s="268"/>
      <c r="O20" s="268"/>
      <c r="P20" s="218"/>
      <c r="Q20" s="269"/>
      <c r="R20" s="215" t="str">
        <f ca="1">IF(ISERROR($V20),"",OFFSET('Smelter Look-up'!$C$4,$V20-4,0)&amp;"")</f>
        <v/>
      </c>
      <c r="S20" s="222" t="str">
        <f t="shared" ca="1" si="3"/>
        <v>ID</v>
      </c>
      <c r="T20" s="222" t="str">
        <f ca="1">IF(B20="","",IF(ISERROR(MATCH($J20,SorP!$B$1:$B$6230,0)),"",INDIRECT("'SorP'!$A$"&amp;MATCH($J20,SorP!$B$1:$B$6230,0))))</f>
        <v>ID-BB</v>
      </c>
      <c r="U20" s="238"/>
      <c r="V20" s="270" t="e">
        <f>IF(C20="",NA(),MATCH($B20&amp;$C20,'Smelter Look-up'!$J:$J,0))</f>
        <v>#N/A</v>
      </c>
      <c r="W20" s="271"/>
      <c r="X20" s="271">
        <f t="shared" si="4"/>
        <v>0</v>
      </c>
      <c r="Y20" s="271"/>
      <c r="Z20" s="271"/>
      <c r="AB20" s="273" t="str">
        <f t="shared" si="5"/>
        <v>TinPT Babel Inti Perkasa</v>
      </c>
    </row>
    <row r="21" spans="1:28" s="272" customFormat="1" ht="18" customHeight="1">
      <c r="A21" s="214" t="s">
        <v>15617</v>
      </c>
      <c r="B21" s="215" t="s">
        <v>1131</v>
      </c>
      <c r="C21" s="358" t="s">
        <v>15648</v>
      </c>
      <c r="D21" s="278"/>
      <c r="E21" s="215" t="s">
        <v>1105</v>
      </c>
      <c r="F21" s="215" t="s">
        <v>15617</v>
      </c>
      <c r="G21" s="215" t="s">
        <v>13459</v>
      </c>
      <c r="H21" s="359">
        <v>0</v>
      </c>
      <c r="I21" s="360" t="s">
        <v>15438</v>
      </c>
      <c r="J21" s="360" t="s">
        <v>13066</v>
      </c>
      <c r="K21" s="268"/>
      <c r="L21" s="268"/>
      <c r="M21" s="268"/>
      <c r="N21" s="268"/>
      <c r="O21" s="268"/>
      <c r="P21" s="218"/>
      <c r="Q21" s="269"/>
      <c r="R21" s="215" t="str">
        <f ca="1">IF(ISERROR($V21),"",OFFSET('Smelter Look-up'!$C$4,$V21-4,0)&amp;"")</f>
        <v/>
      </c>
      <c r="S21" s="222" t="str">
        <f t="shared" ca="1" si="3"/>
        <v>ID</v>
      </c>
      <c r="T21" s="222" t="str">
        <f ca="1">IF(B21="","",IF(ISERROR(MATCH($J21,SorP!$B$1:$B$6230,0)),"",INDIRECT("'SorP'!$A$"&amp;MATCH($J21,SorP!$B$1:$B$6230,0))))</f>
        <v>ID-BB</v>
      </c>
      <c r="U21" s="238"/>
      <c r="V21" s="270" t="e">
        <f>IF(C21="",NA(),MATCH($B21&amp;$C21,'Smelter Look-up'!$J:$J,0))</f>
        <v>#N/A</v>
      </c>
      <c r="W21" s="271"/>
      <c r="X21" s="271">
        <f t="shared" si="4"/>
        <v>0</v>
      </c>
      <c r="Y21" s="271"/>
      <c r="Z21" s="271"/>
      <c r="AB21" s="273" t="str">
        <f t="shared" si="5"/>
        <v>TinCV United Smelting</v>
      </c>
    </row>
    <row r="22" spans="1:28" s="272" customFormat="1" ht="51">
      <c r="A22" s="214" t="s">
        <v>782</v>
      </c>
      <c r="B22" s="215" t="str">
        <f ca="1">IF(LEN(A22)=0,"",INDEX('Smelter Look-up'!$A:$A,MATCH($A22,'Smelter Look-up'!$E:$E,0)))</f>
        <v>Tin</v>
      </c>
      <c r="C22" s="219" t="str">
        <f ca="1">IF(LEN(A22)=0,"",INDEX('Smelter Look-up'!$C:$C,MATCH($A22,'Smelter Look-up'!$E:$E,0)))</f>
        <v>PT Mitra Stania Prima</v>
      </c>
      <c r="D22" s="278"/>
      <c r="E22" s="215" t="str">
        <f ca="1">IF(ISERROR($V22),"",OFFSET('Smelter Look-up'!$D$4,$V22-4,0)&amp;"")</f>
        <v>INDONESIA</v>
      </c>
      <c r="F22" s="215" t="str">
        <f ca="1">IF(ISERROR($V22),"",OFFSET('Smelter Look-up'!$E$4,$V22-4,0))</f>
        <v>CID001453</v>
      </c>
      <c r="G22" s="215" t="str">
        <f ca="1">IF(C22=$X$4,"Enter smelter details",IF(ISERROR($V22),"",OFFSET('Smelter Look-up'!$F$4,$V22-4,0)))</f>
        <v>RMI</v>
      </c>
      <c r="H22" s="216">
        <f ca="1">IF(ISERROR($V22),"",OFFSET('Smelter Look-up'!$G$4,$V22-4,0))</f>
        <v>0</v>
      </c>
      <c r="I22" s="217" t="str">
        <f ca="1">IF(ISERROR($V22),"",OFFSET('Smelter Look-up'!$H$4,$V22-4,0))</f>
        <v>Sungailiat</v>
      </c>
      <c r="J22" s="217" t="str">
        <f ca="1">IF(ISERROR($V22),"",OFFSET('Smelter Look-up'!$I$4,$V22-4,0))</f>
        <v>Kepulauan Bangka Belitung</v>
      </c>
      <c r="K22" s="268"/>
      <c r="L22" s="268"/>
      <c r="M22" s="268"/>
      <c r="N22" s="268"/>
      <c r="O22" s="268"/>
      <c r="P22" s="218"/>
      <c r="Q22" s="269"/>
      <c r="R22" s="215" t="str">
        <f ca="1">IF(ISERROR($V22),"",OFFSET('Smelter Look-up'!$C$4,$V22-4,0)&amp;"")</f>
        <v>PT Mitra Stania Prima</v>
      </c>
      <c r="S22" s="222" t="str">
        <f t="shared" ca="1" si="3"/>
        <v>ID</v>
      </c>
      <c r="T22" s="222" t="str">
        <f ca="1">IF(B22="","",IF(ISERROR(MATCH($J22,SorP!$B$1:$B$6230,0)),"",INDIRECT("'SorP'!$A$"&amp;MATCH($J22,SorP!$B$1:$B$6230,0))))</f>
        <v>ID-BB</v>
      </c>
      <c r="U22" s="238"/>
      <c r="V22" s="270">
        <f ca="1">IF(C22="",NA(),MATCH($B22&amp;$C22,'Smelter Look-up'!$J:$J,0))</f>
        <v>482</v>
      </c>
      <c r="W22" s="271"/>
      <c r="X22" s="271">
        <f t="shared" ca="1" si="4"/>
        <v>0</v>
      </c>
      <c r="Y22" s="271"/>
      <c r="Z22" s="271"/>
      <c r="AB22" s="273" t="str">
        <f t="shared" ca="1" si="5"/>
        <v>TinPT Mitra Stania Prima</v>
      </c>
    </row>
    <row r="23" spans="1:28" s="272" customFormat="1" ht="38.25">
      <c r="A23" s="214" t="s">
        <v>15381</v>
      </c>
      <c r="B23" s="215" t="str">
        <f ca="1">IF(LEN(A23)=0,"",INDEX('Smelter Look-up'!$A:$A,MATCH($A23,'Smelter Look-up'!$E:$E,0)))</f>
        <v>Tin</v>
      </c>
      <c r="C23" s="219" t="str">
        <f ca="1">IF(LEN(A23)=0,"",INDEX('Smelter Look-up'!$C:$C,MATCH($A23,'Smelter Look-up'!$E:$E,0)))</f>
        <v>PT Rajehan Ariq</v>
      </c>
      <c r="D23" s="278"/>
      <c r="E23" s="215" t="str">
        <f ca="1">IF(ISERROR($V23),"",OFFSET('Smelter Look-up'!$D$4,$V23-4,0)&amp;"")</f>
        <v>INDONESIA</v>
      </c>
      <c r="F23" s="215" t="str">
        <f ca="1">IF(ISERROR($V23),"",OFFSET('Smelter Look-up'!$E$4,$V23-4,0))</f>
        <v>CID002593</v>
      </c>
      <c r="G23" s="215" t="str">
        <f ca="1">IF(C23=$X$4,"Enter smelter details",IF(ISERROR($V23),"",OFFSET('Smelter Look-up'!$F$4,$V23-4,0)))</f>
        <v>RMI</v>
      </c>
      <c r="H23" s="216">
        <f ca="1">IF(ISERROR($V23),"",OFFSET('Smelter Look-up'!$G$4,$V23-4,0))</f>
        <v>0</v>
      </c>
      <c r="I23" s="217" t="str">
        <f ca="1">IF(ISERROR($V23),"",OFFSET('Smelter Look-up'!$H$4,$V23-4,0))</f>
        <v>Pangkal Pinang</v>
      </c>
      <c r="J23" s="217" t="str">
        <f ca="1">IF(ISERROR($V23),"",OFFSET('Smelter Look-up'!$I$4,$V23-4,0))</f>
        <v>Kepulauan Bangka Belitung</v>
      </c>
      <c r="K23" s="268"/>
      <c r="L23" s="268"/>
      <c r="M23" s="268"/>
      <c r="N23" s="268"/>
      <c r="O23" s="268"/>
      <c r="P23" s="218"/>
      <c r="Q23" s="269"/>
      <c r="R23" s="215" t="str">
        <f ca="1">IF(ISERROR($V23),"",OFFSET('Smelter Look-up'!$C$4,$V23-4,0)&amp;"")</f>
        <v>PT Rajehan Ariq</v>
      </c>
      <c r="S23" s="222" t="str">
        <f t="shared" ca="1" si="3"/>
        <v>ID</v>
      </c>
      <c r="T23" s="222" t="str">
        <f ca="1">IF(B23="","",IF(ISERROR(MATCH($J23,SorP!$B$1:$B$6230,0)),"",INDIRECT("'SorP'!$A$"&amp;MATCH($J23,SorP!$B$1:$B$6230,0))))</f>
        <v>ID-BB</v>
      </c>
      <c r="U23" s="238"/>
      <c r="V23" s="270">
        <f ca="1">IF(C23="",NA(),MATCH($B23&amp;$C23,'Smelter Look-up'!$J:$J,0))</f>
        <v>486</v>
      </c>
      <c r="W23" s="271"/>
      <c r="X23" s="271">
        <f t="shared" ca="1" si="4"/>
        <v>0</v>
      </c>
      <c r="Y23" s="271"/>
      <c r="Z23" s="271"/>
      <c r="AB23" s="273" t="str">
        <f t="shared" ca="1" si="5"/>
        <v>TinPT Rajehan Ariq</v>
      </c>
    </row>
    <row r="24" spans="1:28" s="272" customFormat="1" ht="51">
      <c r="A24" s="214" t="s">
        <v>15410</v>
      </c>
      <c r="B24" s="215" t="str">
        <f ca="1">IF(LEN(A24)=0,"",INDEX('Smelter Look-up'!$A:$A,MATCH($A24,'Smelter Look-up'!$E:$E,0)))</f>
        <v>Tin</v>
      </c>
      <c r="C24" s="219" t="str">
        <f ca="1">IF(LEN(A24)=0,"",INDEX('Smelter Look-up'!$C:$C,MATCH($A24,'Smelter Look-up'!$E:$E,0)))</f>
        <v>PT Tinindo Inter Nusa</v>
      </c>
      <c r="D24" s="278"/>
      <c r="E24" s="215" t="str">
        <f ca="1">IF(ISERROR($V24),"",OFFSET('Smelter Look-up'!$D$4,$V24-4,0)&amp;"")</f>
        <v>INDONESIA</v>
      </c>
      <c r="F24" s="215" t="str">
        <f ca="1">IF(ISERROR($V24),"",OFFSET('Smelter Look-up'!$E$4,$V24-4,0))</f>
        <v>CID001490</v>
      </c>
      <c r="G24" s="215" t="str">
        <f ca="1">IF(C24=$X$4,"Enter smelter details",IF(ISERROR($V24),"",OFFSET('Smelter Look-up'!$F$4,$V24-4,0)))</f>
        <v>RMI</v>
      </c>
      <c r="H24" s="216">
        <f ca="1">IF(ISERROR($V24),"",OFFSET('Smelter Look-up'!$G$4,$V24-4,0))</f>
        <v>0</v>
      </c>
      <c r="I24" s="217" t="str">
        <f ca="1">IF(ISERROR($V24),"",OFFSET('Smelter Look-up'!$H$4,$V24-4,0))</f>
        <v>Pangkal Pinang</v>
      </c>
      <c r="J24" s="217" t="str">
        <f ca="1">IF(ISERROR($V24),"",OFFSET('Smelter Look-up'!$I$4,$V24-4,0))</f>
        <v>Kepulauan Bangka Belitung</v>
      </c>
      <c r="K24" s="268"/>
      <c r="L24" s="268"/>
      <c r="M24" s="268"/>
      <c r="N24" s="268"/>
      <c r="O24" s="268"/>
      <c r="P24" s="218"/>
      <c r="Q24" s="269"/>
      <c r="R24" s="215" t="str">
        <f ca="1">IF(ISERROR($V24),"",OFFSET('Smelter Look-up'!$C$4,$V24-4,0)&amp;"")</f>
        <v>PT Tinindo Inter Nusa</v>
      </c>
      <c r="S24" s="222" t="str">
        <f t="shared" ca="1" si="3"/>
        <v>ID</v>
      </c>
      <c r="T24" s="222" t="str">
        <f ca="1">IF(B24="","",IF(ISERROR(MATCH($J24,SorP!$B$1:$B$6230,0)),"",INDIRECT("'SorP'!$A$"&amp;MATCH($J24,SorP!$B$1:$B$6230,0))))</f>
        <v>ID-BB</v>
      </c>
      <c r="U24" s="238"/>
      <c r="V24" s="270">
        <f ca="1">IF(C24="",NA(),MATCH($B24&amp;$C24,'Smelter Look-up'!$J:$J,0))</f>
        <v>493</v>
      </c>
      <c r="W24" s="271"/>
      <c r="X24" s="271">
        <f t="shared" ca="1" si="4"/>
        <v>0</v>
      </c>
      <c r="Y24" s="271"/>
      <c r="Z24" s="271"/>
      <c r="AB24" s="273" t="str">
        <f t="shared" ca="1" si="5"/>
        <v>TinPT Tinindo Inter Nusa</v>
      </c>
    </row>
    <row r="25" spans="1:28" s="272" customFormat="1" ht="51">
      <c r="A25" s="214" t="s">
        <v>15400</v>
      </c>
      <c r="B25" s="215" t="str">
        <f ca="1">IF(LEN(A25)=0,"",INDEX('Smelter Look-up'!$A:$A,MATCH($A25,'Smelter Look-up'!$E:$E,0)))</f>
        <v>Tin</v>
      </c>
      <c r="C25" s="219" t="str">
        <f ca="1">IF(LEN(A25)=0,"",INDEX('Smelter Look-up'!$C:$C,MATCH($A25,'Smelter Look-up'!$E:$E,0)))</f>
        <v>PT Menara Cipta Mulia</v>
      </c>
      <c r="D25" s="278"/>
      <c r="E25" s="215" t="str">
        <f ca="1">IF(ISERROR($V25),"",OFFSET('Smelter Look-up'!$D$4,$V25-4,0)&amp;"")</f>
        <v>INDONESIA</v>
      </c>
      <c r="F25" s="215" t="str">
        <f ca="1">IF(ISERROR($V25),"",OFFSET('Smelter Look-up'!$E$4,$V25-4,0))</f>
        <v>CID002835</v>
      </c>
      <c r="G25" s="215" t="str">
        <f ca="1">IF(C25=$X$4,"Enter smelter details",IF(ISERROR($V25),"",OFFSET('Smelter Look-up'!$F$4,$V25-4,0)))</f>
        <v>RMI</v>
      </c>
      <c r="H25" s="216">
        <f ca="1">IF(ISERROR($V25),"",OFFSET('Smelter Look-up'!$G$4,$V25-4,0))</f>
        <v>0</v>
      </c>
      <c r="I25" s="217" t="str">
        <f ca="1">IF(ISERROR($V25),"",OFFSET('Smelter Look-up'!$H$4,$V25-4,0))</f>
        <v>Mentawak</v>
      </c>
      <c r="J25" s="217" t="str">
        <f ca="1">IF(ISERROR($V25),"",OFFSET('Smelter Look-up'!$I$4,$V25-4,0))</f>
        <v>Kepulauan Bangka Belitung</v>
      </c>
      <c r="K25" s="268"/>
      <c r="L25" s="268"/>
      <c r="M25" s="268"/>
      <c r="N25" s="268"/>
      <c r="O25" s="268"/>
      <c r="P25" s="218"/>
      <c r="Q25" s="269"/>
      <c r="R25" s="215" t="str">
        <f ca="1">IF(ISERROR($V25),"",OFFSET('Smelter Look-up'!$C$4,$V25-4,0)&amp;"")</f>
        <v>PT Menara Cipta Mulia</v>
      </c>
      <c r="S25" s="222" t="str">
        <f t="shared" ca="1" si="3"/>
        <v>ID</v>
      </c>
      <c r="T25" s="222" t="str">
        <f ca="1">IF(B25="","",IF(ISERROR(MATCH($J25,SorP!$B$1:$B$6230,0)),"",INDIRECT("'SorP'!$A$"&amp;MATCH($J25,SorP!$B$1:$B$6230,0))))</f>
        <v>ID-BB</v>
      </c>
      <c r="U25" s="238"/>
      <c r="V25" s="270">
        <f ca="1">IF(C25="",NA(),MATCH($B25&amp;$C25,'Smelter Look-up'!$J:$J,0))</f>
        <v>481</v>
      </c>
      <c r="W25" s="271"/>
      <c r="X25" s="271">
        <f t="shared" ca="1" si="4"/>
        <v>0</v>
      </c>
      <c r="Y25" s="271"/>
      <c r="Z25" s="271"/>
      <c r="AB25" s="273" t="str">
        <f t="shared" ca="1" si="5"/>
        <v>TinPT Menara Cipta Mulia</v>
      </c>
    </row>
    <row r="26" spans="1:28" s="272" customFormat="1" ht="63.75">
      <c r="A26" s="214" t="s">
        <v>1404</v>
      </c>
      <c r="B26" s="215" t="str">
        <f ca="1">IF(LEN(A26)=0,"",INDEX('Smelter Look-up'!$A:$A,MATCH($A26,'Smelter Look-up'!$E:$E,0)))</f>
        <v>Tin</v>
      </c>
      <c r="C26" s="219" t="str">
        <f ca="1">IF(LEN(A26)=0,"",INDEX('Smelter Look-up'!$C:$C,MATCH($A26,'Smelter Look-up'!$E:$E,0)))</f>
        <v>PT ATD Makmur Mandiri Jaya</v>
      </c>
      <c r="D26" s="278"/>
      <c r="E26" s="215" t="str">
        <f ca="1">IF(ISERROR($V26),"",OFFSET('Smelter Look-up'!$D$4,$V26-4,0)&amp;"")</f>
        <v>INDONESIA</v>
      </c>
      <c r="F26" s="215" t="str">
        <f ca="1">IF(ISERROR($V26),"",OFFSET('Smelter Look-up'!$E$4,$V26-4,0))</f>
        <v>CID002503</v>
      </c>
      <c r="G26" s="215" t="str">
        <f ca="1">IF(C26=$X$4,"Enter smelter details",IF(ISERROR($V26),"",OFFSET('Smelter Look-up'!$F$4,$V26-4,0)))</f>
        <v>RMI</v>
      </c>
      <c r="H26" s="216">
        <f ca="1">IF(ISERROR($V26),"",OFFSET('Smelter Look-up'!$G$4,$V26-4,0))</f>
        <v>0</v>
      </c>
      <c r="I26" s="217" t="str">
        <f ca="1">IF(ISERROR($V26),"",OFFSET('Smelter Look-up'!$H$4,$V26-4,0))</f>
        <v>Sungailiat</v>
      </c>
      <c r="J26" s="217" t="str">
        <f ca="1">IF(ISERROR($V26),"",OFFSET('Smelter Look-up'!$I$4,$V26-4,0))</f>
        <v>Kepulauan Bangka Belitung</v>
      </c>
      <c r="K26" s="268"/>
      <c r="L26" s="268"/>
      <c r="M26" s="268"/>
      <c r="N26" s="268"/>
      <c r="O26" s="268"/>
      <c r="P26" s="218"/>
      <c r="Q26" s="269"/>
      <c r="R26" s="215" t="str">
        <f ca="1">IF(ISERROR($V26),"",OFFSET('Smelter Look-up'!$C$4,$V26-4,0)&amp;"")</f>
        <v>PT ATD Makmur Mandiri Jaya</v>
      </c>
      <c r="S26" s="222" t="str">
        <f t="shared" ca="1" si="3"/>
        <v>ID</v>
      </c>
      <c r="T26" s="222" t="str">
        <f ca="1">IF(B26="","",IF(ISERROR(MATCH($J26,SorP!$B$1:$B$6230,0)),"",INDIRECT("'SorP'!$A$"&amp;MATCH($J26,SorP!$B$1:$B$6230,0))))</f>
        <v>ID-BB</v>
      </c>
      <c r="U26" s="238"/>
      <c r="V26" s="270">
        <f ca="1">IF(C26="",NA(),MATCH($B26&amp;$C26,'Smelter Look-up'!$J:$J,0))</f>
        <v>477</v>
      </c>
      <c r="W26" s="271"/>
      <c r="X26" s="271">
        <f t="shared" ca="1" si="4"/>
        <v>0</v>
      </c>
      <c r="Y26" s="271"/>
      <c r="Z26" s="271"/>
      <c r="AB26" s="273" t="str">
        <f t="shared" ca="1" si="5"/>
        <v>TinPT ATD Makmur Mandiri Jaya</v>
      </c>
    </row>
    <row r="27" spans="1:28" s="272" customFormat="1" ht="51">
      <c r="A27" s="214" t="s">
        <v>14272</v>
      </c>
      <c r="B27" s="215" t="str">
        <f ca="1">IF(LEN(A27)=0,"",INDEX('Smelter Look-up'!$A:$A,MATCH($A27,'Smelter Look-up'!$E:$E,0)))</f>
        <v>Tin</v>
      </c>
      <c r="C27" s="219" t="str">
        <f ca="1">IF(LEN(A27)=0,"",INDEX('Smelter Look-up'!$C:$C,MATCH($A27,'Smelter Look-up'!$E:$E,0)))</f>
        <v>PT Bangka Serumpun</v>
      </c>
      <c r="D27" s="278"/>
      <c r="E27" s="215" t="str">
        <f ca="1">IF(ISERROR($V27),"",OFFSET('Smelter Look-up'!$D$4,$V27-4,0)&amp;"")</f>
        <v>INDONESIA</v>
      </c>
      <c r="F27" s="215" t="str">
        <f ca="1">IF(ISERROR($V27),"",OFFSET('Smelter Look-up'!$E$4,$V27-4,0))</f>
        <v>CID003205</v>
      </c>
      <c r="G27" s="215" t="str">
        <f ca="1">IF(C27=$X$4,"Enter smelter details",IF(ISERROR($V27),"",OFFSET('Smelter Look-up'!$F$4,$V27-4,0)))</f>
        <v>RMI</v>
      </c>
      <c r="H27" s="216">
        <f ca="1">IF(ISERROR($V27),"",OFFSET('Smelter Look-up'!$G$4,$V27-4,0))</f>
        <v>0</v>
      </c>
      <c r="I27" s="217" t="str">
        <f ca="1">IF(ISERROR($V27),"",OFFSET('Smelter Look-up'!$H$4,$V27-4,0))</f>
        <v>Pangkalpinang</v>
      </c>
      <c r="J27" s="217" t="str">
        <f ca="1">IF(ISERROR($V27),"",OFFSET('Smelter Look-up'!$I$4,$V27-4,0))</f>
        <v>Kepulauan Bangka Belitung</v>
      </c>
      <c r="K27" s="268"/>
      <c r="L27" s="268"/>
      <c r="M27" s="268"/>
      <c r="N27" s="268"/>
      <c r="O27" s="268"/>
      <c r="P27" s="218"/>
      <c r="Q27" s="269"/>
      <c r="R27" s="215" t="str">
        <f ca="1">IF(ISERROR($V27),"",OFFSET('Smelter Look-up'!$C$4,$V27-4,0)&amp;"")</f>
        <v>PT Bangka Serumpun</v>
      </c>
      <c r="S27" s="222" t="str">
        <f t="shared" ca="1" si="3"/>
        <v>ID</v>
      </c>
      <c r="T27" s="222" t="str">
        <f ca="1">IF(B27="","",IF(ISERROR(MATCH($J27,SorP!$B$1:$B$6230,0)),"",INDIRECT("'SorP'!$A$"&amp;MATCH($J27,SorP!$B$1:$B$6230,0))))</f>
        <v>ID-BB</v>
      </c>
      <c r="U27" s="238"/>
      <c r="V27" s="270">
        <f ca="1">IF(C27="",NA(),MATCH($B27&amp;$C27,'Smelter Look-up'!$J:$J,0))</f>
        <v>479</v>
      </c>
      <c r="W27" s="271"/>
      <c r="X27" s="271">
        <f t="shared" ca="1" si="4"/>
        <v>0</v>
      </c>
      <c r="Y27" s="271"/>
      <c r="Z27" s="271"/>
      <c r="AB27" s="273" t="str">
        <f t="shared" ca="1" si="5"/>
        <v>TinPT Bangka Serumpun</v>
      </c>
    </row>
    <row r="28" spans="1:28" s="272" customFormat="1" ht="20.100000000000001" customHeight="1">
      <c r="A28" s="214" t="s">
        <v>15618</v>
      </c>
      <c r="B28" s="215" t="s">
        <v>1131</v>
      </c>
      <c r="C28" s="358" t="s">
        <v>15650</v>
      </c>
      <c r="D28" s="278"/>
      <c r="E28" s="215" t="s">
        <v>1105</v>
      </c>
      <c r="F28" s="215" t="s">
        <v>15618</v>
      </c>
      <c r="G28" s="215" t="s">
        <v>13459</v>
      </c>
      <c r="H28" s="359">
        <v>0</v>
      </c>
      <c r="I28" s="360" t="s">
        <v>15438</v>
      </c>
      <c r="J28" s="360" t="s">
        <v>13066</v>
      </c>
      <c r="K28" s="268"/>
      <c r="L28" s="268"/>
      <c r="M28" s="268"/>
      <c r="N28" s="268"/>
      <c r="O28" s="268"/>
      <c r="P28" s="218"/>
      <c r="Q28" s="269"/>
      <c r="R28" s="215" t="str">
        <f ca="1">IF(ISERROR($V28),"",OFFSET('Smelter Look-up'!$C$4,$V28-4,0)&amp;"")</f>
        <v/>
      </c>
      <c r="S28" s="222" t="str">
        <f t="shared" ca="1" si="3"/>
        <v>ID</v>
      </c>
      <c r="T28" s="222" t="str">
        <f ca="1">IF(B28="","",IF(ISERROR(MATCH($J28,SorP!$B$1:$B$6230,0)),"",INDIRECT("'SorP'!$A$"&amp;MATCH($J28,SorP!$B$1:$B$6230,0))))</f>
        <v>ID-BB</v>
      </c>
      <c r="U28" s="238"/>
      <c r="V28" s="270" t="e">
        <f>IF(C28="",NA(),MATCH($B28&amp;$C28,'Smelter Look-up'!$J:$J,0))</f>
        <v>#N/A</v>
      </c>
      <c r="W28" s="271"/>
      <c r="X28" s="271">
        <f t="shared" si="4"/>
        <v>0</v>
      </c>
      <c r="Y28" s="271"/>
      <c r="Z28" s="271"/>
      <c r="AB28" s="273" t="str">
        <f t="shared" si="5"/>
        <v>TinPT Sariwiguna Binasentosa</v>
      </c>
    </row>
    <row r="29" spans="1:28" s="272" customFormat="1" ht="20.100000000000001" customHeight="1">
      <c r="A29" s="354" t="s">
        <v>15619</v>
      </c>
      <c r="B29" s="215" t="s">
        <v>1131</v>
      </c>
      <c r="C29" s="358" t="s">
        <v>15651</v>
      </c>
      <c r="D29" s="278"/>
      <c r="E29" s="215" t="s">
        <v>1105</v>
      </c>
      <c r="F29" s="215" t="s">
        <v>15619</v>
      </c>
      <c r="G29" s="215" t="s">
        <v>13459</v>
      </c>
      <c r="H29" s="361">
        <v>0</v>
      </c>
      <c r="I29" s="362" t="s">
        <v>1780</v>
      </c>
      <c r="J29" s="362" t="s">
        <v>13066</v>
      </c>
      <c r="K29" s="268"/>
      <c r="L29" s="268"/>
      <c r="M29" s="268"/>
      <c r="N29" s="268"/>
      <c r="O29" s="268"/>
      <c r="P29" s="218"/>
      <c r="Q29" s="269"/>
      <c r="R29" s="215" t="str">
        <f ca="1">IF(ISERROR($V29),"",OFFSET('Smelter Look-up'!$C$4,$V29-4,0)&amp;"")</f>
        <v/>
      </c>
      <c r="S29" s="222" t="str">
        <f t="shared" ca="1" si="3"/>
        <v>ID</v>
      </c>
      <c r="T29" s="222" t="str">
        <f ca="1">IF(B29="","",IF(ISERROR(MATCH($J29,SorP!$B$1:$B$6230,0)),"",INDIRECT("'SorP'!$A$"&amp;MATCH($J29,SorP!$B$1:$B$6230,0))))</f>
        <v>ID-BB</v>
      </c>
      <c r="U29" s="238"/>
      <c r="V29" s="270" t="e">
        <f>IF(C29="",NA(),MATCH($B29&amp;$C29,'Smelter Look-up'!$J:$J,0))</f>
        <v>#N/A</v>
      </c>
      <c r="W29" s="271"/>
      <c r="X29" s="271">
        <f t="shared" si="4"/>
        <v>0</v>
      </c>
      <c r="Y29" s="271"/>
      <c r="Z29" s="271"/>
      <c r="AB29" s="273" t="str">
        <f t="shared" si="5"/>
        <v>TinPT Panca Mega Persada</v>
      </c>
    </row>
    <row r="30" spans="1:28" s="272" customFormat="1" ht="20.100000000000001" customHeight="1">
      <c r="A30" s="354" t="s">
        <v>15620</v>
      </c>
      <c r="B30" s="215" t="s">
        <v>1131</v>
      </c>
      <c r="C30" s="358" t="s">
        <v>15652</v>
      </c>
      <c r="D30" s="278"/>
      <c r="E30" s="215" t="s">
        <v>1105</v>
      </c>
      <c r="F30" s="215" t="s">
        <v>15620</v>
      </c>
      <c r="G30" s="215" t="s">
        <v>13459</v>
      </c>
      <c r="H30" s="361">
        <v>0</v>
      </c>
      <c r="I30" s="362" t="s">
        <v>15438</v>
      </c>
      <c r="J30" s="362" t="s">
        <v>13066</v>
      </c>
      <c r="K30" s="268"/>
      <c r="L30" s="268"/>
      <c r="M30" s="268"/>
      <c r="N30" s="268"/>
      <c r="O30" s="268"/>
      <c r="P30" s="218"/>
      <c r="Q30" s="269"/>
      <c r="R30" s="215" t="str">
        <f ca="1">IF(ISERROR($V30),"",OFFSET('Smelter Look-up'!$C$4,$V30-4,0)&amp;"")</f>
        <v/>
      </c>
      <c r="S30" s="222" t="str">
        <f t="shared" ca="1" si="3"/>
        <v>ID</v>
      </c>
      <c r="T30" s="222" t="str">
        <f ca="1">IF(B30="","",IF(ISERROR(MATCH($J30,SorP!$B$1:$B$6230,0)),"",INDIRECT("'SorP'!$A$"&amp;MATCH($J30,SorP!$B$1:$B$6230,0))))</f>
        <v>ID-BB</v>
      </c>
      <c r="U30" s="238"/>
      <c r="V30" s="270" t="e">
        <f>IF(C30="",NA(),MATCH($B30&amp;$C30,'Smelter Look-up'!$J:$J,0))</f>
        <v>#N/A</v>
      </c>
      <c r="W30" s="271"/>
      <c r="X30" s="271">
        <f t="shared" si="4"/>
        <v>0</v>
      </c>
      <c r="Y30" s="271"/>
      <c r="Z30" s="271"/>
      <c r="AB30" s="273" t="str">
        <f t="shared" si="5"/>
        <v>TinPT DS Jaya Abadi</v>
      </c>
    </row>
    <row r="31" spans="1:28" s="272" customFormat="1" ht="20.100000000000001" customHeight="1">
      <c r="A31" s="354" t="s">
        <v>15621</v>
      </c>
      <c r="B31" s="215" t="s">
        <v>1131</v>
      </c>
      <c r="C31" s="358" t="s">
        <v>15653</v>
      </c>
      <c r="D31" s="278"/>
      <c r="E31" s="215" t="s">
        <v>1105</v>
      </c>
      <c r="F31" s="215" t="s">
        <v>15621</v>
      </c>
      <c r="G31" s="215" t="s">
        <v>13459</v>
      </c>
      <c r="H31" s="361">
        <v>0</v>
      </c>
      <c r="I31" s="362" t="s">
        <v>1780</v>
      </c>
      <c r="J31" s="362" t="s">
        <v>13066</v>
      </c>
      <c r="K31" s="268"/>
      <c r="L31" s="268"/>
      <c r="M31" s="268"/>
      <c r="N31" s="268"/>
      <c r="O31" s="268"/>
      <c r="P31" s="218"/>
      <c r="Q31" s="269"/>
      <c r="R31" s="215" t="str">
        <f ca="1">IF(ISERROR($V31),"",OFFSET('Smelter Look-up'!$C$4,$V31-4,0)&amp;"")</f>
        <v/>
      </c>
      <c r="S31" s="222" t="str">
        <f t="shared" ca="1" si="3"/>
        <v>ID</v>
      </c>
      <c r="T31" s="222" t="str">
        <f ca="1">IF(B31="","",IF(ISERROR(MATCH($J31,SorP!$B$1:$B$6230,0)),"",INDIRECT("'SorP'!$A$"&amp;MATCH($J31,SorP!$B$1:$B$6230,0))))</f>
        <v>ID-BB</v>
      </c>
      <c r="U31" s="238"/>
      <c r="V31" s="270" t="e">
        <f>IF(C31="",NA(),MATCH($B31&amp;$C31,'Smelter Look-up'!$J:$J,0))</f>
        <v>#N/A</v>
      </c>
      <c r="W31" s="271"/>
      <c r="X31" s="271">
        <f t="shared" si="4"/>
        <v>0</v>
      </c>
      <c r="Y31" s="271"/>
      <c r="Z31" s="271"/>
      <c r="AB31" s="273" t="str">
        <f t="shared" si="5"/>
        <v>TinPT Inti Stania Prima</v>
      </c>
    </row>
    <row r="32" spans="1:28" s="272" customFormat="1" ht="20.100000000000001" customHeight="1">
      <c r="A32" s="354" t="s">
        <v>15406</v>
      </c>
      <c r="B32" s="215" t="str">
        <f ca="1">IF(LEN(A32)=0,"",INDEX('Smelter Look-up'!$A:$A,MATCH($A32,'Smelter Look-up'!$E:$E,0)))</f>
        <v>Tin</v>
      </c>
      <c r="C32" s="219" t="str">
        <f ca="1">IF(LEN(A32)=0,"",INDEX('Smelter Look-up'!$C:$C,MATCH($A32,'Smelter Look-up'!$E:$E,0)))</f>
        <v>PT Stanindo Inti Perkasa</v>
      </c>
      <c r="D32" s="278"/>
      <c r="E32" s="215" t="str">
        <f ca="1">IF(ISERROR($V32),"",OFFSET('Smelter Look-up'!$D$4,$V32-4,0)&amp;"")</f>
        <v>INDONESIA</v>
      </c>
      <c r="F32" s="215" t="str">
        <f ca="1">IF(ISERROR($V32),"",OFFSET('Smelter Look-up'!$E$4,$V32-4,0))</f>
        <v>CID001468</v>
      </c>
      <c r="G32" s="215" t="str">
        <f ca="1">IF(C32=$X$4,"Enter smelter details",IF(ISERROR($V32),"",OFFSET('Smelter Look-up'!$F$4,$V32-4,0)))</f>
        <v>RMI</v>
      </c>
      <c r="H32" s="216">
        <f ca="1">IF(ISERROR($V32),"",OFFSET('Smelter Look-up'!$G$4,$V32-4,0))</f>
        <v>0</v>
      </c>
      <c r="I32" s="217" t="str">
        <f ca="1">IF(ISERROR($V32),"",OFFSET('Smelter Look-up'!$H$4,$V32-4,0))</f>
        <v>Pangkal Pinang</v>
      </c>
      <c r="J32" s="217" t="str">
        <f ca="1">IF(ISERROR($V32),"",OFFSET('Smelter Look-up'!$I$4,$V32-4,0))</f>
        <v>Kepulauan Bangka Belitung</v>
      </c>
      <c r="K32" s="268"/>
      <c r="L32" s="268"/>
      <c r="M32" s="268"/>
      <c r="N32" s="268"/>
      <c r="O32" s="268"/>
      <c r="P32" s="218"/>
      <c r="Q32" s="269"/>
      <c r="R32" s="215" t="str">
        <f ca="1">IF(ISERROR($V32),"",OFFSET('Smelter Look-up'!$C$4,$V32-4,0)&amp;"")</f>
        <v>PT Stanindo Inti Perkasa</v>
      </c>
      <c r="S32" s="222" t="str">
        <f t="shared" ca="1" si="3"/>
        <v>ID</v>
      </c>
      <c r="T32" s="222" t="str">
        <f ca="1">IF(B32="","",IF(ISERROR(MATCH($J32,SorP!$B$1:$B$6230,0)),"",INDIRECT("'SorP'!$A$"&amp;MATCH($J32,SorP!$B$1:$B$6230,0))))</f>
        <v>ID-BB</v>
      </c>
      <c r="U32" s="238"/>
      <c r="V32" s="270">
        <f ca="1">IF(C32="",NA(),MATCH($B32&amp;$C32,'Smelter Look-up'!$J:$J,0))</f>
        <v>488</v>
      </c>
      <c r="W32" s="271"/>
      <c r="X32" s="271">
        <f t="shared" ca="1" si="4"/>
        <v>0</v>
      </c>
      <c r="Y32" s="271"/>
      <c r="Z32" s="271"/>
      <c r="AB32" s="273" t="str">
        <f t="shared" ca="1" si="5"/>
        <v>TinPT Stanindo Inti Perkasa</v>
      </c>
    </row>
    <row r="33" spans="1:28" s="272" customFormat="1" ht="20.100000000000001" customHeight="1">
      <c r="A33" s="354" t="s">
        <v>786</v>
      </c>
      <c r="B33" s="215" t="str">
        <f ca="1">IF(LEN(A33)=0,"",INDEX('Smelter Look-up'!$A:$A,MATCH($A33,'Smelter Look-up'!$E:$E,0)))</f>
        <v>Tin</v>
      </c>
      <c r="C33" s="219" t="str">
        <f ca="1">IF(LEN(A33)=0,"",INDEX('Smelter Look-up'!$C:$C,MATCH($A33,'Smelter Look-up'!$E:$E,0)))</f>
        <v>Rui Da Hung</v>
      </c>
      <c r="D33" s="278"/>
      <c r="E33" s="215" t="str">
        <f ca="1">IF(ISERROR($V33),"",OFFSET('Smelter Look-up'!$D$4,$V33-4,0)&amp;"")</f>
        <v>TAIWAN, PROVINCE OF CHINA</v>
      </c>
      <c r="F33" s="215" t="str">
        <f ca="1">IF(ISERROR($V33),"",OFFSET('Smelter Look-up'!$E$4,$V33-4,0))</f>
        <v>CID001539</v>
      </c>
      <c r="G33" s="215" t="str">
        <f ca="1">IF(C33=$X$4,"Enter smelter details",IF(ISERROR($V33),"",OFFSET('Smelter Look-up'!$F$4,$V33-4,0)))</f>
        <v>RMI</v>
      </c>
      <c r="H33" s="216">
        <f ca="1">IF(ISERROR($V33),"",OFFSET('Smelter Look-up'!$G$4,$V33-4,0))</f>
        <v>0</v>
      </c>
      <c r="I33" s="217" t="str">
        <f ca="1">IF(ISERROR($V33),"",OFFSET('Smelter Look-up'!$H$4,$V33-4,0))</f>
        <v>Longtan Shiang Taoyuan</v>
      </c>
      <c r="J33" s="217" t="str">
        <f ca="1">IF(ISERROR($V33),"",OFFSET('Smelter Look-up'!$I$4,$V33-4,0))</f>
        <v>Taoyuan</v>
      </c>
      <c r="K33" s="268"/>
      <c r="L33" s="268"/>
      <c r="M33" s="268"/>
      <c r="N33" s="268"/>
      <c r="O33" s="268"/>
      <c r="P33" s="218"/>
      <c r="Q33" s="269"/>
      <c r="R33" s="215" t="str">
        <f ca="1">IF(ISERROR($V33),"",OFFSET('Smelter Look-up'!$C$4,$V33-4,0)&amp;"")</f>
        <v>Rui Da Hung</v>
      </c>
      <c r="S33" s="222" t="str">
        <f t="shared" ca="1" si="3"/>
        <v>TW</v>
      </c>
      <c r="T33" s="222" t="str">
        <f ca="1">IF(B33="","",IF(ISERROR(MATCH($J33,SorP!$B$1:$B$6230,0)),"",INDIRECT("'SorP'!$A$"&amp;MATCH($J33,SorP!$B$1:$B$6230,0))))</f>
        <v>TW-TAO</v>
      </c>
      <c r="U33" s="238"/>
      <c r="V33" s="270">
        <f ca="1">IF(C33="",NA(),MATCH($B33&amp;$C33,'Smelter Look-up'!$J:$J,0))</f>
        <v>497</v>
      </c>
      <c r="W33" s="271"/>
      <c r="X33" s="271">
        <f t="shared" ca="1" si="4"/>
        <v>0</v>
      </c>
      <c r="Y33" s="271"/>
      <c r="Z33" s="271"/>
      <c r="AB33" s="273" t="str">
        <f t="shared" ca="1" si="5"/>
        <v>TinRui Da Hung</v>
      </c>
    </row>
    <row r="34" spans="1:28" s="272" customFormat="1" ht="20.100000000000001" customHeight="1">
      <c r="A34" s="354" t="s">
        <v>15622</v>
      </c>
      <c r="B34" s="215" t="s">
        <v>1131</v>
      </c>
      <c r="C34" s="358" t="s">
        <v>15654</v>
      </c>
      <c r="D34" s="278"/>
      <c r="E34" s="215" t="s">
        <v>1105</v>
      </c>
      <c r="F34" s="215" t="s">
        <v>15622</v>
      </c>
      <c r="G34" s="215" t="s">
        <v>13459</v>
      </c>
      <c r="H34" s="361">
        <v>0</v>
      </c>
      <c r="I34" s="362" t="s">
        <v>15655</v>
      </c>
      <c r="J34" s="362" t="s">
        <v>13066</v>
      </c>
      <c r="K34" s="268"/>
      <c r="L34" s="268"/>
      <c r="M34" s="268"/>
      <c r="N34" s="268"/>
      <c r="O34" s="268"/>
      <c r="P34" s="218"/>
      <c r="Q34" s="269"/>
      <c r="R34" s="215" t="str">
        <f ca="1">IF(ISERROR($V34),"",OFFSET('Smelter Look-up'!$C$4,$V34-4,0)&amp;"")</f>
        <v/>
      </c>
      <c r="S34" s="222" t="str">
        <f t="shared" ca="1" si="3"/>
        <v>ID</v>
      </c>
      <c r="T34" s="222" t="str">
        <f ca="1">IF(B34="","",IF(ISERROR(MATCH($J34,SorP!$B$1:$B$6230,0)),"",INDIRECT("'SorP'!$A$"&amp;MATCH($J34,SorP!$B$1:$B$6230,0))))</f>
        <v>ID-BB</v>
      </c>
      <c r="U34" s="238"/>
      <c r="V34" s="270" t="e">
        <f>IF(C34="",NA(),MATCH($B34&amp;$C34,'Smelter Look-up'!$J:$J,0))</f>
        <v>#N/A</v>
      </c>
      <c r="W34" s="271"/>
      <c r="X34" s="271">
        <f t="shared" si="4"/>
        <v>0</v>
      </c>
      <c r="Y34" s="271"/>
      <c r="Z34" s="271"/>
      <c r="AB34" s="273" t="str">
        <f t="shared" si="5"/>
        <v>TinPT Belitung Industri Sejahtera</v>
      </c>
    </row>
    <row r="35" spans="1:28" s="272" customFormat="1" ht="20.100000000000001" customHeight="1">
      <c r="A35" s="354" t="s">
        <v>15378</v>
      </c>
      <c r="B35" s="215" t="str">
        <f ca="1">IF(LEN(A35)=0,"",INDEX('Smelter Look-up'!$A:$A,MATCH($A35,'Smelter Look-up'!$E:$E,0)))</f>
        <v>Tin</v>
      </c>
      <c r="C35" s="219" t="str">
        <f ca="1">IF(LEN(A35)=0,"",INDEX('Smelter Look-up'!$C:$C,MATCH($A35,'Smelter Look-up'!$E:$E,0)))</f>
        <v>PT Aries Kencana Sejahtera</v>
      </c>
      <c r="D35" s="278"/>
      <c r="E35" s="215" t="str">
        <f ca="1">IF(ISERROR($V35),"",OFFSET('Smelter Look-up'!$D$4,$V35-4,0)&amp;"")</f>
        <v>INDONESIA</v>
      </c>
      <c r="F35" s="215" t="str">
        <f ca="1">IF(ISERROR($V35),"",OFFSET('Smelter Look-up'!$E$4,$V35-4,0))</f>
        <v>CID000309</v>
      </c>
      <c r="G35" s="215" t="str">
        <f ca="1">IF(C35=$X$4,"Enter smelter details",IF(ISERROR($V35),"",OFFSET('Smelter Look-up'!$F$4,$V35-4,0)))</f>
        <v>RMI</v>
      </c>
      <c r="H35" s="216">
        <f ca="1">IF(ISERROR($V35),"",OFFSET('Smelter Look-up'!$G$4,$V35-4,0))</f>
        <v>0</v>
      </c>
      <c r="I35" s="217" t="str">
        <f ca="1">IF(ISERROR($V35),"",OFFSET('Smelter Look-up'!$H$4,$V35-4,0))</f>
        <v>Pemali</v>
      </c>
      <c r="J35" s="217" t="str">
        <f ca="1">IF(ISERROR($V35),"",OFFSET('Smelter Look-up'!$I$4,$V35-4,0))</f>
        <v>Kepulauan Bangka Belitung</v>
      </c>
      <c r="K35" s="268"/>
      <c r="L35" s="268"/>
      <c r="M35" s="268"/>
      <c r="N35" s="268"/>
      <c r="O35" s="268"/>
      <c r="P35" s="218"/>
      <c r="Q35" s="269"/>
      <c r="R35" s="215" t="str">
        <f ca="1">IF(ISERROR($V35),"",OFFSET('Smelter Look-up'!$C$4,$V35-4,0)&amp;"")</f>
        <v>PT Aries Kencana Sejahtera</v>
      </c>
      <c r="S35" s="222" t="str">
        <f t="shared" ca="1" si="3"/>
        <v>ID</v>
      </c>
      <c r="T35" s="222" t="str">
        <f ca="1">IF(B35="","",IF(ISERROR(MATCH($J35,SorP!$B$1:$B$6230,0)),"",INDIRECT("'SorP'!$A$"&amp;MATCH($J35,SorP!$B$1:$B$6230,0))))</f>
        <v>ID-BB</v>
      </c>
      <c r="U35" s="238"/>
      <c r="V35" s="270">
        <f ca="1">IF(C35="",NA(),MATCH($B35&amp;$C35,'Smelter Look-up'!$J:$J,0))</f>
        <v>475</v>
      </c>
      <c r="W35" s="271"/>
      <c r="X35" s="271">
        <f t="shared" ca="1" si="4"/>
        <v>0</v>
      </c>
      <c r="Y35" s="271"/>
      <c r="Z35" s="271"/>
      <c r="AB35" s="273" t="str">
        <f t="shared" ca="1" si="5"/>
        <v>TinPT Aries Kencana Sejahtera</v>
      </c>
    </row>
    <row r="36" spans="1:28" s="272" customFormat="1" ht="20.100000000000001" customHeight="1">
      <c r="A36" s="354" t="s">
        <v>15623</v>
      </c>
      <c r="B36" s="215" t="s">
        <v>1131</v>
      </c>
      <c r="C36" s="358" t="s">
        <v>15656</v>
      </c>
      <c r="D36" s="278"/>
      <c r="E36" s="215" t="s">
        <v>1105</v>
      </c>
      <c r="F36" s="215" t="s">
        <v>15623</v>
      </c>
      <c r="G36" s="215" t="s">
        <v>13459</v>
      </c>
      <c r="H36" s="361">
        <v>0</v>
      </c>
      <c r="I36" s="362" t="s">
        <v>15659</v>
      </c>
      <c r="J36" s="362" t="s">
        <v>13066</v>
      </c>
      <c r="K36" s="268"/>
      <c r="L36" s="268"/>
      <c r="M36" s="268"/>
      <c r="N36" s="268"/>
      <c r="O36" s="268"/>
      <c r="P36" s="218"/>
      <c r="Q36" s="269"/>
      <c r="R36" s="215" t="str">
        <f ca="1">IF(ISERROR($V36),"",OFFSET('Smelter Look-up'!$C$4,$V36-4,0)&amp;"")</f>
        <v/>
      </c>
      <c r="S36" s="222" t="str">
        <f t="shared" ca="1" si="3"/>
        <v>ID</v>
      </c>
      <c r="T36" s="222" t="str">
        <f ca="1">IF(B36="","",IF(ISERROR(MATCH($J36,SorP!$B$1:$B$6230,0)),"",INDIRECT("'SorP'!$A$"&amp;MATCH($J36,SorP!$B$1:$B$6230,0))))</f>
        <v>ID-BB</v>
      </c>
      <c r="U36" s="238"/>
      <c r="V36" s="270" t="e">
        <f>IF(C36="",NA(),MATCH($B36&amp;$C36,'Smelter Look-up'!$J:$J,0))</f>
        <v>#N/A</v>
      </c>
      <c r="W36" s="271"/>
      <c r="X36" s="271">
        <f t="shared" si="4"/>
        <v>0</v>
      </c>
      <c r="Y36" s="271"/>
      <c r="Z36" s="271"/>
      <c r="AB36" s="273" t="str">
        <f t="shared" si="5"/>
        <v>TinPT Tommy Utama</v>
      </c>
    </row>
    <row r="37" spans="1:28" s="272" customFormat="1" ht="20.100000000000001" customHeight="1">
      <c r="A37" s="354" t="s">
        <v>15624</v>
      </c>
      <c r="B37" s="215" t="s">
        <v>1131</v>
      </c>
      <c r="C37" s="358" t="s">
        <v>15657</v>
      </c>
      <c r="D37" s="278"/>
      <c r="E37" s="215" t="s">
        <v>1105</v>
      </c>
      <c r="F37" s="215" t="s">
        <v>15624</v>
      </c>
      <c r="G37" s="215" t="s">
        <v>13459</v>
      </c>
      <c r="H37" s="361">
        <v>0</v>
      </c>
      <c r="I37" s="362" t="s">
        <v>15438</v>
      </c>
      <c r="J37" s="362" t="s">
        <v>13066</v>
      </c>
      <c r="K37" s="268"/>
      <c r="L37" s="268"/>
      <c r="M37" s="268"/>
      <c r="N37" s="268"/>
      <c r="O37" s="268"/>
      <c r="P37" s="218"/>
      <c r="Q37" s="269"/>
      <c r="R37" s="215" t="str">
        <f ca="1">IF(ISERROR($V37),"",OFFSET('Smelter Look-up'!$C$4,$V37-4,0)&amp;"")</f>
        <v/>
      </c>
      <c r="S37" s="222" t="str">
        <f t="shared" ref="S37:S67" ca="1" si="6">IF(B37="","",IF(ISERROR(MATCH($E37,CL,0)),"Unknown",INDIRECT("'C'!$A$"&amp;MATCH($E37,CL,0)+1)))</f>
        <v>ID</v>
      </c>
      <c r="T37" s="222" t="str">
        <f ca="1">IF(B37="","",IF(ISERROR(MATCH($J37,SorP!$B$1:$B$6230,0)),"",INDIRECT("'SorP'!$A$"&amp;MATCH($J37,SorP!$B$1:$B$6230,0))))</f>
        <v>ID-BB</v>
      </c>
      <c r="U37" s="238"/>
      <c r="V37" s="270" t="e">
        <f>IF(C37="",NA(),MATCH($B37&amp;$C37,'Smelter Look-up'!$J:$J,0))</f>
        <v>#N/A</v>
      </c>
      <c r="W37" s="271"/>
      <c r="X37" s="271">
        <f t="shared" ref="X37:X67" si="7">IF(AND(C37="Smelter not listed",OR(LEN(D37)=0,LEN(E37)=0)),1,0)</f>
        <v>0</v>
      </c>
      <c r="Y37" s="271"/>
      <c r="Z37" s="271"/>
      <c r="AB37" s="273" t="str">
        <f t="shared" ref="AB37:AB67" si="8">B37&amp;C37</f>
        <v>TinCV Dua Sekawan</v>
      </c>
    </row>
    <row r="38" spans="1:28" s="272" customFormat="1" ht="20.100000000000001" customHeight="1">
      <c r="A38" s="354" t="s">
        <v>15625</v>
      </c>
      <c r="B38" s="215" t="s">
        <v>1131</v>
      </c>
      <c r="C38" s="358" t="s">
        <v>15658</v>
      </c>
      <c r="D38" s="278"/>
      <c r="E38" s="215" t="s">
        <v>1105</v>
      </c>
      <c r="F38" s="215" t="s">
        <v>15625</v>
      </c>
      <c r="G38" s="215" t="s">
        <v>13459</v>
      </c>
      <c r="H38" s="361">
        <v>0</v>
      </c>
      <c r="I38" s="362" t="s">
        <v>15438</v>
      </c>
      <c r="J38" s="362" t="s">
        <v>13066</v>
      </c>
      <c r="K38" s="268"/>
      <c r="L38" s="268"/>
      <c r="M38" s="268"/>
      <c r="N38" s="268"/>
      <c r="O38" s="268"/>
      <c r="P38" s="218"/>
      <c r="Q38" s="269"/>
      <c r="R38" s="215" t="str">
        <f ca="1">IF(ISERROR($V38),"",OFFSET('Smelter Look-up'!$C$4,$V38-4,0)&amp;"")</f>
        <v/>
      </c>
      <c r="S38" s="222" t="str">
        <f t="shared" ca="1" si="6"/>
        <v>ID</v>
      </c>
      <c r="T38" s="222" t="str">
        <f ca="1">IF(B38="","",IF(ISERROR(MATCH($J38,SorP!$B$1:$B$6230,0)),"",INDIRECT("'SorP'!$A$"&amp;MATCH($J38,SorP!$B$1:$B$6230,0))))</f>
        <v>ID-BB</v>
      </c>
      <c r="U38" s="238"/>
      <c r="V38" s="270" t="e">
        <f>IF(C38="",NA(),MATCH($B38&amp;$C38,'Smelter Look-up'!$J:$J,0))</f>
        <v>#N/A</v>
      </c>
      <c r="W38" s="271"/>
      <c r="X38" s="271">
        <f t="shared" si="7"/>
        <v>0</v>
      </c>
      <c r="Y38" s="271"/>
      <c r="Z38" s="271"/>
      <c r="AB38" s="273" t="str">
        <f t="shared" si="8"/>
        <v>TinPT Sumber Jaya Indah</v>
      </c>
    </row>
    <row r="39" spans="1:28" s="272" customFormat="1" ht="20.100000000000001" customHeight="1">
      <c r="A39" s="354" t="s">
        <v>781</v>
      </c>
      <c r="B39" s="215" t="str">
        <f ca="1">IF(LEN(A39)=0,"",INDEX('Smelter Look-up'!$A:$A,MATCH($A39,'Smelter Look-up'!$E:$E,0)))</f>
        <v>Tin</v>
      </c>
      <c r="C39" s="219" t="str">
        <f ca="1">IF(LEN(A39)=0,"",INDEX('Smelter Look-up'!$C:$C,MATCH($A39,'Smelter Look-up'!$E:$E,0)))</f>
        <v>PT Artha Cipta Langgeng</v>
      </c>
      <c r="D39" s="278"/>
      <c r="E39" s="215" t="str">
        <f ca="1">IF(ISERROR($V39),"",OFFSET('Smelter Look-up'!$D$4,$V39-4,0)&amp;"")</f>
        <v>INDONESIA</v>
      </c>
      <c r="F39" s="215" t="str">
        <f ca="1">IF(ISERROR($V39),"",OFFSET('Smelter Look-up'!$E$4,$V39-4,0))</f>
        <v>CID001399</v>
      </c>
      <c r="G39" s="215" t="str">
        <f ca="1">IF(C39=$X$4,"Enter smelter details",IF(ISERROR($V39),"",OFFSET('Smelter Look-up'!$F$4,$V39-4,0)))</f>
        <v>RMI</v>
      </c>
      <c r="H39" s="216">
        <f ca="1">IF(ISERROR($V39),"",OFFSET('Smelter Look-up'!$G$4,$V39-4,0))</f>
        <v>0</v>
      </c>
      <c r="I39" s="217" t="str">
        <f ca="1">IF(ISERROR($V39),"",OFFSET('Smelter Look-up'!$H$4,$V39-4,0))</f>
        <v>Sungailiat</v>
      </c>
      <c r="J39" s="217" t="str">
        <f ca="1">IF(ISERROR($V39),"",OFFSET('Smelter Look-up'!$I$4,$V39-4,0))</f>
        <v>Kepulauan Bangka Belitung</v>
      </c>
      <c r="K39" s="268"/>
      <c r="L39" s="268"/>
      <c r="M39" s="268"/>
      <c r="N39" s="268"/>
      <c r="O39" s="268"/>
      <c r="P39" s="218"/>
      <c r="Q39" s="269"/>
      <c r="R39" s="215" t="str">
        <f ca="1">IF(ISERROR($V39),"",OFFSET('Smelter Look-up'!$C$4,$V39-4,0)&amp;"")</f>
        <v>PT Artha Cipta Langgeng</v>
      </c>
      <c r="S39" s="222" t="str">
        <f t="shared" ca="1" si="6"/>
        <v>ID</v>
      </c>
      <c r="T39" s="222" t="str">
        <f ca="1">IF(B39="","",IF(ISERROR(MATCH($J39,SorP!$B$1:$B$6230,0)),"",INDIRECT("'SorP'!$A$"&amp;MATCH($J39,SorP!$B$1:$B$6230,0))))</f>
        <v>ID-BB</v>
      </c>
      <c r="U39" s="238"/>
      <c r="V39" s="270">
        <f ca="1">IF(C39="",NA(),MATCH($B39&amp;$C39,'Smelter Look-up'!$J:$J,0))</f>
        <v>476</v>
      </c>
      <c r="W39" s="271"/>
      <c r="X39" s="271">
        <f t="shared" ca="1" si="7"/>
        <v>0</v>
      </c>
      <c r="Y39" s="271"/>
      <c r="Z39" s="271"/>
      <c r="AB39" s="273" t="str">
        <f t="shared" ca="1" si="8"/>
        <v>TinPT Artha Cipta Langgeng</v>
      </c>
    </row>
    <row r="40" spans="1:28" s="272" customFormat="1" ht="20.100000000000001" customHeight="1">
      <c r="A40" s="354" t="s">
        <v>15626</v>
      </c>
      <c r="B40" s="215" t="s">
        <v>1131</v>
      </c>
      <c r="C40" s="358" t="s">
        <v>15660</v>
      </c>
      <c r="D40" s="278"/>
      <c r="E40" s="215" t="s">
        <v>1105</v>
      </c>
      <c r="F40" s="215" t="s">
        <v>15626</v>
      </c>
      <c r="G40" s="215" t="s">
        <v>13459</v>
      </c>
      <c r="H40" s="361">
        <v>0</v>
      </c>
      <c r="I40" s="362" t="s">
        <v>15662</v>
      </c>
      <c r="J40" s="362" t="s">
        <v>13066</v>
      </c>
      <c r="K40" s="268"/>
      <c r="L40" s="268"/>
      <c r="M40" s="268"/>
      <c r="N40" s="268"/>
      <c r="O40" s="268"/>
      <c r="P40" s="218"/>
      <c r="Q40" s="269"/>
      <c r="R40" s="215" t="str">
        <f ca="1">IF(ISERROR($V40),"",OFFSET('Smelter Look-up'!$C$4,$V40-4,0)&amp;"")</f>
        <v/>
      </c>
      <c r="S40" s="222" t="str">
        <f t="shared" ca="1" si="6"/>
        <v>ID</v>
      </c>
      <c r="T40" s="222" t="str">
        <f ca="1">IF(B40="","",IF(ISERROR(MATCH($J40,SorP!$B$1:$B$6230,0)),"",INDIRECT("'SorP'!$A$"&amp;MATCH($J40,SorP!$B$1:$B$6230,0))))</f>
        <v>ID-BB</v>
      </c>
      <c r="U40" s="238"/>
      <c r="V40" s="270" t="e">
        <f>IF(C40="",NA(),MATCH($B40&amp;$C40,'Smelter Look-up'!$J:$J,0))</f>
        <v>#N/A</v>
      </c>
      <c r="W40" s="271"/>
      <c r="X40" s="271">
        <f t="shared" si="7"/>
        <v>0</v>
      </c>
      <c r="Y40" s="271"/>
      <c r="Z40" s="271"/>
      <c r="AB40" s="273" t="str">
        <f t="shared" si="8"/>
        <v>TinPT Bangka Prima Tin</v>
      </c>
    </row>
    <row r="41" spans="1:28" s="272" customFormat="1" ht="20.100000000000001" customHeight="1">
      <c r="A41" s="354" t="s">
        <v>15627</v>
      </c>
      <c r="B41" s="215" t="s">
        <v>1131</v>
      </c>
      <c r="C41" s="358" t="s">
        <v>15661</v>
      </c>
      <c r="D41" s="278"/>
      <c r="E41" s="215" t="s">
        <v>1105</v>
      </c>
      <c r="F41" s="215" t="s">
        <v>15627</v>
      </c>
      <c r="G41" s="215" t="s">
        <v>13459</v>
      </c>
      <c r="H41" s="361">
        <v>0</v>
      </c>
      <c r="I41" s="362" t="s">
        <v>1780</v>
      </c>
      <c r="J41" s="362" t="s">
        <v>13066</v>
      </c>
      <c r="K41" s="268"/>
      <c r="L41" s="268"/>
      <c r="M41" s="268"/>
      <c r="N41" s="268"/>
      <c r="O41" s="268"/>
      <c r="P41" s="218"/>
      <c r="Q41" s="269"/>
      <c r="R41" s="215" t="str">
        <f ca="1">IF(ISERROR($V41),"",OFFSET('Smelter Look-up'!$C$4,$V41-4,0)&amp;"")</f>
        <v/>
      </c>
      <c r="S41" s="222" t="str">
        <f t="shared" ca="1" si="6"/>
        <v>ID</v>
      </c>
      <c r="T41" s="222" t="str">
        <f ca="1">IF(B41="","",IF(ISERROR(MATCH($J41,SorP!$B$1:$B$6230,0)),"",INDIRECT("'SorP'!$A$"&amp;MATCH($J41,SorP!$B$1:$B$6230,0))))</f>
        <v>ID-BB</v>
      </c>
      <c r="U41" s="238"/>
      <c r="V41" s="270" t="e">
        <f>IF(C41="",NA(),MATCH($B41&amp;$C41,'Smelter Look-up'!$J:$J,0))</f>
        <v>#N/A</v>
      </c>
      <c r="W41" s="271"/>
      <c r="X41" s="271">
        <f t="shared" si="7"/>
        <v>0</v>
      </c>
      <c r="Y41" s="271"/>
      <c r="Z41" s="271"/>
      <c r="AB41" s="273" t="str">
        <f t="shared" si="8"/>
        <v>TinPT Bangka Tin Industry</v>
      </c>
    </row>
    <row r="42" spans="1:28" s="272" customFormat="1" ht="20.100000000000001" customHeight="1">
      <c r="A42" s="354" t="s">
        <v>766</v>
      </c>
      <c r="B42" s="215" t="str">
        <f ca="1">IF(LEN(A42)=0,"",INDEX('Smelter Look-up'!$A:$A,MATCH($A42,'Smelter Look-up'!$E:$E,0)))</f>
        <v>Tin</v>
      </c>
      <c r="C42" s="219" t="str">
        <f ca="1">IF(LEN(A42)=0,"",INDEX('Smelter Look-up'!$C:$C,MATCH($A42,'Smelter Look-up'!$E:$E,0)))</f>
        <v>Alpha</v>
      </c>
      <c r="D42" s="278"/>
      <c r="E42" s="215" t="str">
        <f ca="1">IF(ISERROR($V42),"",OFFSET('Smelter Look-up'!$D$4,$V42-4,0)&amp;"")</f>
        <v>UNITED STATES OF AMERICA</v>
      </c>
      <c r="F42" s="215" t="str">
        <f ca="1">IF(ISERROR($V42),"",OFFSET('Smelter Look-up'!$E$4,$V42-4,0))</f>
        <v>CID000292</v>
      </c>
      <c r="G42" s="215" t="str">
        <f ca="1">IF(C42=$X$4,"Enter smelter details",IF(ISERROR($V42),"",OFFSET('Smelter Look-up'!$F$4,$V42-4,0)))</f>
        <v>RMI</v>
      </c>
      <c r="H42" s="216">
        <f ca="1">IF(ISERROR($V42),"",OFFSET('Smelter Look-up'!$G$4,$V42-4,0))</f>
        <v>0</v>
      </c>
      <c r="I42" s="217" t="str">
        <f ca="1">IF(ISERROR($V42),"",OFFSET('Smelter Look-up'!$H$4,$V42-4,0))</f>
        <v>Altoona</v>
      </c>
      <c r="J42" s="217" t="str">
        <f ca="1">IF(ISERROR($V42),"",OFFSET('Smelter Look-up'!$I$4,$V42-4,0))</f>
        <v>Pennsylvania</v>
      </c>
      <c r="K42" s="268"/>
      <c r="L42" s="268"/>
      <c r="M42" s="268"/>
      <c r="N42" s="268"/>
      <c r="O42" s="268"/>
      <c r="P42" s="218"/>
      <c r="Q42" s="269"/>
      <c r="R42" s="215" t="str">
        <f ca="1">IF(ISERROR($V42),"",OFFSET('Smelter Look-up'!$C$4,$V42-4,0)&amp;"")</f>
        <v>Alpha</v>
      </c>
      <c r="S42" s="222" t="str">
        <f t="shared" ca="1" si="6"/>
        <v>US</v>
      </c>
      <c r="T42" s="222" t="str">
        <f ca="1">IF(B42="","",IF(ISERROR(MATCH($J42,SorP!$B$1:$B$6230,0)),"",INDIRECT("'SorP'!$A$"&amp;MATCH($J42,SorP!$B$1:$B$6230,0))))</f>
        <v>US-PA</v>
      </c>
      <c r="U42" s="238"/>
      <c r="V42" s="270">
        <f ca="1">IF(C42="",NA(),MATCH($B42&amp;$C42,'Smelter Look-up'!$J:$J,0))</f>
        <v>384</v>
      </c>
      <c r="W42" s="271"/>
      <c r="X42" s="271">
        <f t="shared" ca="1" si="7"/>
        <v>0</v>
      </c>
      <c r="Y42" s="271"/>
      <c r="Z42" s="271"/>
      <c r="AB42" s="273" t="str">
        <f t="shared" ca="1" si="8"/>
        <v>TinAlpha</v>
      </c>
    </row>
    <row r="43" spans="1:28" s="272" customFormat="1" ht="63.75">
      <c r="A43" s="354" t="s">
        <v>773</v>
      </c>
      <c r="B43" s="215" t="str">
        <f ca="1">IF(LEN(A43)=0,"",INDEX('Smelter Look-up'!$A:$A,MATCH($A43,'Smelter Look-up'!$E:$E,0)))</f>
        <v>Tin</v>
      </c>
      <c r="C43" s="219" t="str">
        <f ca="1">IF(LEN(A43)=0,"",INDEX('Smelter Look-up'!$C:$C,MATCH($A43,'Smelter Look-up'!$E:$E,0)))</f>
        <v>China Tin Group Co., Ltd.</v>
      </c>
      <c r="D43" s="278"/>
      <c r="E43" s="215" t="str">
        <f ca="1">IF(ISERROR($V43),"",OFFSET('Smelter Look-up'!$D$4,$V43-4,0)&amp;"")</f>
        <v>CHINA</v>
      </c>
      <c r="F43" s="215" t="str">
        <f ca="1">IF(ISERROR($V43),"",OFFSET('Smelter Look-up'!$E$4,$V43-4,0))</f>
        <v>CID001070</v>
      </c>
      <c r="G43" s="215" t="str">
        <f ca="1">IF(C43=$X$4,"Enter smelter details",IF(ISERROR($V43),"",OFFSET('Smelter Look-up'!$F$4,$V43-4,0)))</f>
        <v>RMI</v>
      </c>
      <c r="H43" s="216">
        <f ca="1">IF(ISERROR($V43),"",OFFSET('Smelter Look-up'!$G$4,$V43-4,0))</f>
        <v>0</v>
      </c>
      <c r="I43" s="217" t="str">
        <f ca="1">IF(ISERROR($V43),"",OFFSET('Smelter Look-up'!$H$4,$V43-4,0))</f>
        <v>Laibin</v>
      </c>
      <c r="J43" s="217" t="str">
        <f ca="1">IF(ISERROR($V43),"",OFFSET('Smelter Look-up'!$I$4,$V43-4,0))</f>
        <v>Guangxi Zhuangzu Zizhiqu</v>
      </c>
      <c r="K43" s="268"/>
      <c r="L43" s="268"/>
      <c r="M43" s="268"/>
      <c r="N43" s="268"/>
      <c r="O43" s="268"/>
      <c r="P43" s="218"/>
      <c r="Q43" s="269"/>
      <c r="R43" s="215" t="str">
        <f ca="1">IF(ISERROR($V43),"",OFFSET('Smelter Look-up'!$C$4,$V43-4,0)&amp;"")</f>
        <v>China Tin Group Co., Ltd.</v>
      </c>
      <c r="S43" s="222" t="str">
        <f t="shared" ca="1" si="6"/>
        <v>CN</v>
      </c>
      <c r="T43" s="222" t="str">
        <f ca="1">IF(B43="","",IF(ISERROR(MATCH($J43,SorP!$B$1:$B$6230,0)),"",INDIRECT("'SorP'!$A$"&amp;MATCH($J43,SorP!$B$1:$B$6230,0))))</f>
        <v>CN-GX</v>
      </c>
      <c r="U43" s="238"/>
      <c r="V43" s="270">
        <f ca="1">IF(C43="",NA(),MATCH($B43&amp;$C43,'Smelter Look-up'!$J:$J,0))</f>
        <v>395</v>
      </c>
      <c r="W43" s="271"/>
      <c r="X43" s="271">
        <f t="shared" ca="1" si="7"/>
        <v>0</v>
      </c>
      <c r="Y43" s="271"/>
      <c r="Z43" s="271"/>
      <c r="AB43" s="273" t="str">
        <f t="shared" ca="1" si="8"/>
        <v>TinChina Tin Group Co., Ltd.</v>
      </c>
    </row>
    <row r="44" spans="1:28" s="272" customFormat="1" ht="51">
      <c r="A44" s="354" t="s">
        <v>15383</v>
      </c>
      <c r="B44" s="215" t="str">
        <f ca="1">IF(LEN(A44)=0,"",INDEX('Smelter Look-up'!$A:$A,MATCH($A44,'Smelter Look-up'!$E:$E,0)))</f>
        <v>Tin</v>
      </c>
      <c r="C44" s="219" t="str">
        <f ca="1">IF(LEN(A44)=0,"",INDEX('Smelter Look-up'!$C:$C,MATCH($A44,'Smelter Look-up'!$E:$E,0)))</f>
        <v>CV Venus Inti Perkasa</v>
      </c>
      <c r="D44" s="278"/>
      <c r="E44" s="215" t="str">
        <f ca="1">IF(ISERROR($V44),"",OFFSET('Smelter Look-up'!$D$4,$V44-4,0)&amp;"")</f>
        <v>INDONESIA</v>
      </c>
      <c r="F44" s="215" t="str">
        <f ca="1">IF(ISERROR($V44),"",OFFSET('Smelter Look-up'!$E$4,$V44-4,0))</f>
        <v>CID002455</v>
      </c>
      <c r="G44" s="215" t="str">
        <f ca="1">IF(C44=$X$4,"Enter smelter details",IF(ISERROR($V44),"",OFFSET('Smelter Look-up'!$F$4,$V44-4,0)))</f>
        <v>RMI</v>
      </c>
      <c r="H44" s="216">
        <f ca="1">IF(ISERROR($V44),"",OFFSET('Smelter Look-up'!$G$4,$V44-4,0))</f>
        <v>0</v>
      </c>
      <c r="I44" s="217" t="str">
        <f ca="1">IF(ISERROR($V44),"",OFFSET('Smelter Look-up'!$H$4,$V44-4,0))</f>
        <v>Pangkal Pinang</v>
      </c>
      <c r="J44" s="217" t="str">
        <f ca="1">IF(ISERROR($V44),"",OFFSET('Smelter Look-up'!$I$4,$V44-4,0))</f>
        <v>Kepulauan Bangka Belitung</v>
      </c>
      <c r="K44" s="268"/>
      <c r="L44" s="268"/>
      <c r="M44" s="268"/>
      <c r="N44" s="268"/>
      <c r="O44" s="268"/>
      <c r="P44" s="218"/>
      <c r="Q44" s="269"/>
      <c r="R44" s="215" t="str">
        <f ca="1">IF(ISERROR($V44),"",OFFSET('Smelter Look-up'!$C$4,$V44-4,0)&amp;"")</f>
        <v>CV Venus Inti Perkasa</v>
      </c>
      <c r="S44" s="222" t="str">
        <f t="shared" ca="1" si="6"/>
        <v>ID</v>
      </c>
      <c r="T44" s="222" t="str">
        <f ca="1">IF(B44="","",IF(ISERROR(MATCH($J44,SorP!$B$1:$B$6230,0)),"",INDIRECT("'SorP'!$A$"&amp;MATCH($J44,SorP!$B$1:$B$6230,0))))</f>
        <v>ID-BB</v>
      </c>
      <c r="U44" s="238"/>
      <c r="V44" s="270">
        <f ca="1">IF(C44="",NA(),MATCH($B44&amp;$C44,'Smelter Look-up'!$J:$J,0))</f>
        <v>407</v>
      </c>
      <c r="W44" s="271"/>
      <c r="X44" s="271">
        <f t="shared" ca="1" si="7"/>
        <v>0</v>
      </c>
      <c r="Y44" s="271"/>
      <c r="Z44" s="271"/>
      <c r="AB44" s="273" t="str">
        <f t="shared" ca="1" si="8"/>
        <v>TinCV Venus Inti Perkasa</v>
      </c>
    </row>
    <row r="45" spans="1:28" s="272" customFormat="1" ht="25.5">
      <c r="A45" s="354" t="s">
        <v>769</v>
      </c>
      <c r="B45" s="215" t="str">
        <f ca="1">IF(LEN(A45)=0,"",INDEX('Smelter Look-up'!$A:$A,MATCH($A45,'Smelter Look-up'!$E:$E,0)))</f>
        <v>Tin</v>
      </c>
      <c r="C45" s="219" t="str">
        <f ca="1">IF(LEN(A45)=0,"",INDEX('Smelter Look-up'!$C:$C,MATCH($A45,'Smelter Look-up'!$E:$E,0)))</f>
        <v>Fenix Metals</v>
      </c>
      <c r="D45" s="278"/>
      <c r="E45" s="215" t="str">
        <f ca="1">IF(ISERROR($V45),"",OFFSET('Smelter Look-up'!$D$4,$V45-4,0)&amp;"")</f>
        <v>POLAND</v>
      </c>
      <c r="F45" s="215" t="str">
        <f ca="1">IF(ISERROR($V45),"",OFFSET('Smelter Look-up'!$E$4,$V45-4,0))</f>
        <v>CID000468</v>
      </c>
      <c r="G45" s="215" t="str">
        <f ca="1">IF(C45=$X$4,"Enter smelter details",IF(ISERROR($V45),"",OFFSET('Smelter Look-up'!$F$4,$V45-4,0)))</f>
        <v>RMI</v>
      </c>
      <c r="H45" s="216">
        <f ca="1">IF(ISERROR($V45),"",OFFSET('Smelter Look-up'!$G$4,$V45-4,0))</f>
        <v>0</v>
      </c>
      <c r="I45" s="217" t="str">
        <f ca="1">IF(ISERROR($V45),"",OFFSET('Smelter Look-up'!$H$4,$V45-4,0))</f>
        <v>Chmielów</v>
      </c>
      <c r="J45" s="217" t="str">
        <f ca="1">IF(ISERROR($V45),"",OFFSET('Smelter Look-up'!$I$4,$V45-4,0))</f>
        <v>Podkarpackie</v>
      </c>
      <c r="K45" s="268"/>
      <c r="L45" s="268"/>
      <c r="M45" s="268"/>
      <c r="N45" s="268"/>
      <c r="O45" s="268"/>
      <c r="P45" s="218"/>
      <c r="Q45" s="269"/>
      <c r="R45" s="215" t="str">
        <f ca="1">IF(ISERROR($V45),"",OFFSET('Smelter Look-up'!$C$4,$V45-4,0)&amp;"")</f>
        <v>Fenix Metals</v>
      </c>
      <c r="S45" s="222" t="str">
        <f t="shared" ca="1" si="6"/>
        <v>PL</v>
      </c>
      <c r="T45" s="222" t="str">
        <f ca="1">IF(B45="","",IF(ISERROR(MATCH($J45,SorP!$B$1:$B$6230,0)),"",INDIRECT("'SorP'!$A$"&amp;MATCH($J45,SorP!$B$1:$B$6230,0))))</f>
        <v>PL-18</v>
      </c>
      <c r="U45" s="238"/>
      <c r="V45" s="270">
        <f ca="1">IF(C45="",NA(),MATCH($B45&amp;$C45,'Smelter Look-up'!$J:$J,0))</f>
        <v>421</v>
      </c>
      <c r="W45" s="271"/>
      <c r="X45" s="271">
        <f t="shared" ca="1" si="7"/>
        <v>0</v>
      </c>
      <c r="Y45" s="271"/>
      <c r="Z45" s="271"/>
      <c r="AB45" s="273" t="str">
        <f t="shared" ca="1" si="8"/>
        <v>TinFenix Metals</v>
      </c>
    </row>
    <row r="46" spans="1:28" s="272" customFormat="1" ht="89.25">
      <c r="A46" s="354" t="s">
        <v>770</v>
      </c>
      <c r="B46" s="215" t="str">
        <f ca="1">IF(LEN(A46)=0,"",INDEX('Smelter Look-up'!$A:$A,MATCH($A46,'Smelter Look-up'!$E:$E,0)))</f>
        <v>Tin</v>
      </c>
      <c r="C46" s="219" t="str">
        <f ca="1">IF(LEN(A46)=0,"",INDEX('Smelter Look-up'!$C:$C,MATCH($A46,'Smelter Look-up'!$E:$E,0)))</f>
        <v>Gejiu Non-Ferrous Metal Processing Co., Ltd.</v>
      </c>
      <c r="D46" s="278"/>
      <c r="E46" s="215" t="str">
        <f ca="1">IF(ISERROR($V46),"",OFFSET('Smelter Look-up'!$D$4,$V46-4,0)&amp;"")</f>
        <v>CHINA</v>
      </c>
      <c r="F46" s="215" t="str">
        <f ca="1">IF(ISERROR($V46),"",OFFSET('Smelter Look-up'!$E$4,$V46-4,0))</f>
        <v>CID000538</v>
      </c>
      <c r="G46" s="215" t="str">
        <f ca="1">IF(C46=$X$4,"Enter smelter details",IF(ISERROR($V46),"",OFFSET('Smelter Look-up'!$F$4,$V46-4,0)))</f>
        <v>RMI</v>
      </c>
      <c r="H46" s="216">
        <f ca="1">IF(ISERROR($V46),"",OFFSET('Smelter Look-up'!$G$4,$V46-4,0))</f>
        <v>0</v>
      </c>
      <c r="I46" s="217" t="str">
        <f ca="1">IF(ISERROR($V46),"",OFFSET('Smelter Look-up'!$H$4,$V46-4,0))</f>
        <v>Gejiu</v>
      </c>
      <c r="J46" s="217" t="str">
        <f ca="1">IF(ISERROR($V46),"",OFFSET('Smelter Look-up'!$I$4,$V46-4,0))</f>
        <v>Yunnan Sheng</v>
      </c>
      <c r="K46" s="268"/>
      <c r="L46" s="268"/>
      <c r="M46" s="268"/>
      <c r="N46" s="268"/>
      <c r="O46" s="268"/>
      <c r="P46" s="218"/>
      <c r="Q46" s="269"/>
      <c r="R46" s="215" t="str">
        <f ca="1">IF(ISERROR($V46),"",OFFSET('Smelter Look-up'!$C$4,$V46-4,0)&amp;"")</f>
        <v>Gejiu Non-Ferrous Metal Processing Co., Ltd.</v>
      </c>
      <c r="S46" s="222" t="str">
        <f t="shared" ca="1" si="6"/>
        <v>CN</v>
      </c>
      <c r="T46" s="222" t="str">
        <f ca="1">IF(B46="","",IF(ISERROR(MATCH($J46,SorP!$B$1:$B$6230,0)),"",INDIRECT("'SorP'!$A$"&amp;MATCH($J46,SorP!$B$1:$B$6230,0))))</f>
        <v>CN-YN</v>
      </c>
      <c r="U46" s="238"/>
      <c r="V46" s="270">
        <f ca="1">IF(C46="",NA(),MATCH($B46&amp;$C46,'Smelter Look-up'!$J:$J,0))</f>
        <v>428</v>
      </c>
      <c r="W46" s="271"/>
      <c r="X46" s="271">
        <f t="shared" ca="1" si="7"/>
        <v>0</v>
      </c>
      <c r="Y46" s="271"/>
      <c r="Z46" s="271"/>
      <c r="AB46" s="273" t="str">
        <f t="shared" ca="1" si="8"/>
        <v>TinGejiu Non-Ferrous Metal Processing Co., Ltd.</v>
      </c>
    </row>
    <row r="47" spans="1:28" s="272" customFormat="1" ht="102">
      <c r="A47" s="354" t="s">
        <v>2563</v>
      </c>
      <c r="B47" s="215" t="str">
        <f ca="1">IF(LEN(A47)=0,"",INDEX('Smelter Look-up'!$A:$A,MATCH($A47,'Smelter Look-up'!$E:$E,0)))</f>
        <v>Tin</v>
      </c>
      <c r="C47" s="219" t="str">
        <f ca="1">IF(LEN(A47)=0,"",INDEX('Smelter Look-up'!$C:$C,MATCH($A47,'Smelter Look-up'!$E:$E,0)))</f>
        <v>Guangdong Hanhe Non-Ferrous Metal Co., Ltd.</v>
      </c>
      <c r="D47" s="278"/>
      <c r="E47" s="215" t="str">
        <f ca="1">IF(ISERROR($V47),"",OFFSET('Smelter Look-up'!$D$4,$V47-4,0)&amp;"")</f>
        <v>CHINA</v>
      </c>
      <c r="F47" s="215" t="str">
        <f ca="1">IF(ISERROR($V47),"",OFFSET('Smelter Look-up'!$E$4,$V47-4,0))</f>
        <v>CID003116</v>
      </c>
      <c r="G47" s="215" t="str">
        <f ca="1">IF(C47=$X$4,"Enter smelter details",IF(ISERROR($V47),"",OFFSET('Smelter Look-up'!$F$4,$V47-4,0)))</f>
        <v>RMI</v>
      </c>
      <c r="H47" s="216">
        <f ca="1">IF(ISERROR($V47),"",OFFSET('Smelter Look-up'!$G$4,$V47-4,0))</f>
        <v>0</v>
      </c>
      <c r="I47" s="217" t="str">
        <f ca="1">IF(ISERROR($V47),"",OFFSET('Smelter Look-up'!$H$4,$V47-4,0))</f>
        <v>Chaozhou</v>
      </c>
      <c r="J47" s="217" t="str">
        <f ca="1">IF(ISERROR($V47),"",OFFSET('Smelter Look-up'!$I$4,$V47-4,0))</f>
        <v>Guangdong Sheng</v>
      </c>
      <c r="K47" s="268"/>
      <c r="L47" s="268"/>
      <c r="M47" s="268"/>
      <c r="N47" s="268"/>
      <c r="O47" s="268"/>
      <c r="P47" s="218"/>
      <c r="Q47" s="269"/>
      <c r="R47" s="215" t="str">
        <f ca="1">IF(ISERROR($V47),"",OFFSET('Smelter Look-up'!$C$4,$V47-4,0)&amp;"")</f>
        <v>Guangdong Hanhe Non-Ferrous Metal Co., Ltd.</v>
      </c>
      <c r="S47" s="222" t="str">
        <f t="shared" ca="1" si="6"/>
        <v>CN</v>
      </c>
      <c r="T47" s="222" t="str">
        <f ca="1">IF(B47="","",IF(ISERROR(MATCH($J47,SorP!$B$1:$B$6230,0)),"",INDIRECT("'SorP'!$A$"&amp;MATCH($J47,SorP!$B$1:$B$6230,0))))</f>
        <v>CN-GD</v>
      </c>
      <c r="U47" s="238"/>
      <c r="V47" s="270">
        <f ca="1">IF(C47="",NA(),MATCH($B47&amp;$C47,'Smelter Look-up'!$J:$J,0))</f>
        <v>434</v>
      </c>
      <c r="W47" s="271"/>
      <c r="X47" s="271">
        <f t="shared" ca="1" si="7"/>
        <v>0</v>
      </c>
      <c r="Y47" s="271"/>
      <c r="Z47" s="271"/>
      <c r="AB47" s="273" t="str">
        <f t="shared" ca="1" si="8"/>
        <v>TinGuangdong Hanhe Non-Ferrous Metal Co., Ltd.</v>
      </c>
    </row>
    <row r="48" spans="1:28" s="272" customFormat="1" ht="63.75">
      <c r="A48" s="354" t="s">
        <v>1802</v>
      </c>
      <c r="B48" s="215" t="str">
        <f ca="1">IF(LEN(A48)=0,"",INDEX('Smelter Look-up'!$A:$A,MATCH($A48,'Smelter Look-up'!$E:$E,0)))</f>
        <v>Tin</v>
      </c>
      <c r="C48" s="219" t="str">
        <f ca="1">IF(LEN(A48)=0,"",INDEX('Smelter Look-up'!$C:$C,MATCH($A48,'Smelter Look-up'!$E:$E,0)))</f>
        <v>Jiangxi New Nanshan Technology Ltd.</v>
      </c>
      <c r="D48" s="278"/>
      <c r="E48" s="215" t="str">
        <f ca="1">IF(ISERROR($V48),"",OFFSET('Smelter Look-up'!$D$4,$V48-4,0)&amp;"")</f>
        <v>CHINA</v>
      </c>
      <c r="F48" s="215" t="str">
        <f ca="1">IF(ISERROR($V48),"",OFFSET('Smelter Look-up'!$E$4,$V48-4,0))</f>
        <v>CID001231</v>
      </c>
      <c r="G48" s="215" t="str">
        <f ca="1">IF(C48=$X$4,"Enter smelter details",IF(ISERROR($V48),"",OFFSET('Smelter Look-up'!$F$4,$V48-4,0)))</f>
        <v>RMI</v>
      </c>
      <c r="H48" s="216">
        <f ca="1">IF(ISERROR($V48),"",OFFSET('Smelter Look-up'!$G$4,$V48-4,0))</f>
        <v>0</v>
      </c>
      <c r="I48" s="217" t="str">
        <f ca="1">IF(ISERROR($V48),"",OFFSET('Smelter Look-up'!$H$4,$V48-4,0))</f>
        <v>Ganzhou</v>
      </c>
      <c r="J48" s="217" t="str">
        <f ca="1">IF(ISERROR($V48),"",OFFSET('Smelter Look-up'!$I$4,$V48-4,0))</f>
        <v>Jiangxi Sheng</v>
      </c>
      <c r="K48" s="268"/>
      <c r="L48" s="268"/>
      <c r="M48" s="268"/>
      <c r="N48" s="268"/>
      <c r="O48" s="268"/>
      <c r="P48" s="218"/>
      <c r="Q48" s="269"/>
      <c r="R48" s="215" t="str">
        <f ca="1">IF(ISERROR($V48),"",OFFSET('Smelter Look-up'!$C$4,$V48-4,0)&amp;"")</f>
        <v>Jiangxi New Nanshan Technology Ltd.</v>
      </c>
      <c r="S48" s="222" t="str">
        <f t="shared" ca="1" si="6"/>
        <v>CN</v>
      </c>
      <c r="T48" s="222" t="str">
        <f ca="1">IF(B48="","",IF(ISERROR(MATCH($J48,SorP!$B$1:$B$6230,0)),"",INDIRECT("'SorP'!$A$"&amp;MATCH($J48,SorP!$B$1:$B$6230,0))))</f>
        <v>CN-JX</v>
      </c>
      <c r="U48" s="238"/>
      <c r="V48" s="270">
        <f ca="1">IF(C48="",NA(),MATCH($B48&amp;$C48,'Smelter Look-up'!$J:$J,0))</f>
        <v>440</v>
      </c>
      <c r="W48" s="271"/>
      <c r="X48" s="271">
        <f t="shared" ca="1" si="7"/>
        <v>0</v>
      </c>
      <c r="Y48" s="271"/>
      <c r="Z48" s="271"/>
      <c r="AB48" s="273" t="str">
        <f t="shared" ca="1" si="8"/>
        <v>TinJiangxi New Nanshan Technology Ltd.</v>
      </c>
    </row>
    <row r="49" spans="1:28" s="272" customFormat="1" ht="51">
      <c r="A49" s="354" t="s">
        <v>1795</v>
      </c>
      <c r="B49" s="215" t="str">
        <f ca="1">IF(LEN(A49)=0,"",INDEX('Smelter Look-up'!$A:$A,MATCH($A49,'Smelter Look-up'!$E:$E,0)))</f>
        <v>Tin</v>
      </c>
      <c r="C49" s="219" t="str">
        <f ca="1">IF(LEN(A49)=0,"",INDEX('Smelter Look-up'!$C:$C,MATCH($A49,'Smelter Look-up'!$E:$E,0)))</f>
        <v>Metallic Resources, Inc.</v>
      </c>
      <c r="D49" s="278"/>
      <c r="E49" s="215" t="str">
        <f ca="1">IF(ISERROR($V49),"",OFFSET('Smelter Look-up'!$D$4,$V49-4,0)&amp;"")</f>
        <v>UNITED STATES OF AMERICA</v>
      </c>
      <c r="F49" s="215" t="str">
        <f ca="1">IF(ISERROR($V49),"",OFFSET('Smelter Look-up'!$E$4,$V49-4,0))</f>
        <v>CID001142</v>
      </c>
      <c r="G49" s="215" t="str">
        <f ca="1">IF(C49=$X$4,"Enter smelter details",IF(ISERROR($V49),"",OFFSET('Smelter Look-up'!$F$4,$V49-4,0)))</f>
        <v>RMI</v>
      </c>
      <c r="H49" s="216">
        <f ca="1">IF(ISERROR($V49),"",OFFSET('Smelter Look-up'!$G$4,$V49-4,0))</f>
        <v>0</v>
      </c>
      <c r="I49" s="217" t="str">
        <f ca="1">IF(ISERROR($V49),"",OFFSET('Smelter Look-up'!$H$4,$V49-4,0))</f>
        <v>Twinsburg</v>
      </c>
      <c r="J49" s="217" t="str">
        <f ca="1">IF(ISERROR($V49),"",OFFSET('Smelter Look-up'!$I$4,$V49-4,0))</f>
        <v>Ohio</v>
      </c>
      <c r="K49" s="268"/>
      <c r="L49" s="268"/>
      <c r="M49" s="268"/>
      <c r="N49" s="268"/>
      <c r="O49" s="268"/>
      <c r="P49" s="218"/>
      <c r="Q49" s="269"/>
      <c r="R49" s="215" t="str">
        <f ca="1">IF(ISERROR($V49),"",OFFSET('Smelter Look-up'!$C$4,$V49-4,0)&amp;"")</f>
        <v>Metallic Resources, Inc.</v>
      </c>
      <c r="S49" s="222" t="str">
        <f t="shared" ca="1" si="6"/>
        <v>US</v>
      </c>
      <c r="T49" s="222" t="str">
        <f ca="1">IF(B49="","",IF(ISERROR(MATCH($J49,SorP!$B$1:$B$6230,0)),"",INDIRECT("'SorP'!$A$"&amp;MATCH($J49,SorP!$B$1:$B$6230,0))))</f>
        <v>US-OH</v>
      </c>
      <c r="U49" s="238"/>
      <c r="V49" s="270">
        <f ca="1">IF(C49="",NA(),MATCH($B49&amp;$C49,'Smelter Look-up'!$J:$J,0))</f>
        <v>453</v>
      </c>
      <c r="W49" s="271"/>
      <c r="X49" s="271">
        <f t="shared" ca="1" si="7"/>
        <v>0</v>
      </c>
      <c r="Y49" s="271"/>
      <c r="Z49" s="271"/>
      <c r="AB49" s="273" t="str">
        <f t="shared" ca="1" si="8"/>
        <v>TinMetallic Resources, Inc.</v>
      </c>
    </row>
    <row r="50" spans="1:28" s="272" customFormat="1" ht="38.25">
      <c r="A50" s="354" t="s">
        <v>1832</v>
      </c>
      <c r="B50" s="215" t="str">
        <f ca="1">IF(LEN(A50)=0,"",INDEX('Smelter Look-up'!$A:$A,MATCH($A50,'Smelter Look-up'!$E:$E,0)))</f>
        <v>Tin</v>
      </c>
      <c r="C50" s="219" t="str">
        <f ca="1">IF(LEN(A50)=0,"",INDEX('Smelter Look-up'!$C:$C,MATCH($A50,'Smelter Look-up'!$E:$E,0)))</f>
        <v>Metallo Spain S.L.U.</v>
      </c>
      <c r="D50" s="278"/>
      <c r="E50" s="215" t="str">
        <f ca="1">IF(ISERROR($V50),"",OFFSET('Smelter Look-up'!$D$4,$V50-4,0)&amp;"")</f>
        <v>SPAIN</v>
      </c>
      <c r="F50" s="215" t="str">
        <f ca="1">IF(ISERROR($V50),"",OFFSET('Smelter Look-up'!$E$4,$V50-4,0))</f>
        <v>CID002774</v>
      </c>
      <c r="G50" s="215" t="str">
        <f ca="1">IF(C50=$X$4,"Enter smelter details",IF(ISERROR($V50),"",OFFSET('Smelter Look-up'!$F$4,$V50-4,0)))</f>
        <v>RMI</v>
      </c>
      <c r="H50" s="216">
        <f ca="1">IF(ISERROR($V50),"",OFFSET('Smelter Look-up'!$G$4,$V50-4,0))</f>
        <v>0</v>
      </c>
      <c r="I50" s="217" t="str">
        <f ca="1">IF(ISERROR($V50),"",OFFSET('Smelter Look-up'!$H$4,$V50-4,0))</f>
        <v>Berango</v>
      </c>
      <c r="J50" s="217" t="str">
        <f ca="1">IF(ISERROR($V50),"",OFFSET('Smelter Look-up'!$I$4,$V50-4,0))</f>
        <v>Bizkaia</v>
      </c>
      <c r="K50" s="268"/>
      <c r="L50" s="268"/>
      <c r="M50" s="268"/>
      <c r="N50" s="268"/>
      <c r="O50" s="268"/>
      <c r="P50" s="218"/>
      <c r="Q50" s="269"/>
      <c r="R50" s="215" t="str">
        <f ca="1">IF(ISERROR($V50),"",OFFSET('Smelter Look-up'!$C$4,$V50-4,0)&amp;"")</f>
        <v>Metallo Spain S.L.U.</v>
      </c>
      <c r="S50" s="222" t="str">
        <f t="shared" ca="1" si="6"/>
        <v>ES</v>
      </c>
      <c r="T50" s="222" t="str">
        <f ca="1">IF(B50="","",IF(ISERROR(MATCH($J50,SorP!$B$1:$B$6230,0)),"",INDIRECT("'SorP'!$A$"&amp;MATCH($J50,SorP!$B$1:$B$6230,0))))</f>
        <v>ES-BI</v>
      </c>
      <c r="U50" s="238"/>
      <c r="V50" s="270">
        <f ca="1">IF(C50="",NA(),MATCH($B50&amp;$C50,'Smelter Look-up'!$J:$J,0))</f>
        <v>455</v>
      </c>
      <c r="W50" s="271"/>
      <c r="X50" s="271">
        <f t="shared" ca="1" si="7"/>
        <v>0</v>
      </c>
      <c r="Y50" s="271"/>
      <c r="Z50" s="271"/>
      <c r="AB50" s="273" t="str">
        <f t="shared" ca="1" si="8"/>
        <v>TinMetallo Spain S.L.U.</v>
      </c>
    </row>
    <row r="51" spans="1:28" s="272" customFormat="1" ht="76.5">
      <c r="A51" s="324" t="s">
        <v>734</v>
      </c>
      <c r="B51" s="215" t="str">
        <f ca="1">IF(LEN(A51)=0,"",INDEX('Smelter Look-up'!$A:$A,MATCH($A51,'Smelter Look-up'!$E:$E,0)))</f>
        <v>Gold</v>
      </c>
      <c r="C51" s="219" t="str">
        <f ca="1">IF(LEN(A51)=0,"",INDEX('Smelter Look-up'!$C:$C,MATCH($A51,'Smelter Look-up'!$E:$E,0)))</f>
        <v>Shandong Gold Smelting Co., Ltd.</v>
      </c>
      <c r="D51" s="278"/>
      <c r="E51" s="215" t="str">
        <f ca="1">IF(ISERROR($V51),"",OFFSET('Smelter Look-up'!$D$4,$V51-4,0)&amp;"")</f>
        <v>CHINA</v>
      </c>
      <c r="F51" s="215" t="str">
        <f ca="1">IF(ISERROR($V51),"",OFFSET('Smelter Look-up'!$E$4,$V51-4,0))</f>
        <v>CID001916</v>
      </c>
      <c r="G51" s="215" t="str">
        <f ca="1">IF(C51=$X$4,"Enter smelter details",IF(ISERROR($V51),"",OFFSET('Smelter Look-up'!$F$4,$V51-4,0)))</f>
        <v>RMI</v>
      </c>
      <c r="H51" s="216">
        <f ca="1">IF(ISERROR($V51),"",OFFSET('Smelter Look-up'!$G$4,$V51-4,0))</f>
        <v>0</v>
      </c>
      <c r="I51" s="217" t="str">
        <f ca="1">IF(ISERROR($V51),"",OFFSET('Smelter Look-up'!$H$4,$V51-4,0))</f>
        <v>Laizhou</v>
      </c>
      <c r="J51" s="217" t="str">
        <f ca="1">IF(ISERROR($V51),"",OFFSET('Smelter Look-up'!$I$4,$V51-4,0))</f>
        <v>Shandong Sheng</v>
      </c>
      <c r="K51" s="268"/>
      <c r="L51" s="268"/>
      <c r="M51" s="268"/>
      <c r="N51" s="268"/>
      <c r="O51" s="268"/>
      <c r="P51" s="218"/>
      <c r="Q51" s="269"/>
      <c r="R51" s="215" t="str">
        <f ca="1">IF(ISERROR($V51),"",OFFSET('Smelter Look-up'!$C$4,$V51-4,0)&amp;"")</f>
        <v>Shandong Gold Smelting Co., Ltd.</v>
      </c>
      <c r="S51" s="222" t="str">
        <f t="shared" ca="1" si="6"/>
        <v>CN</v>
      </c>
      <c r="T51" s="222" t="str">
        <f ca="1">IF(B51="","",IF(ISERROR(MATCH($J51,SorP!$B$1:$B$6230,0)),"",INDIRECT("'SorP'!$A$"&amp;MATCH($J51,SorP!$B$1:$B$6230,0))))</f>
        <v>CN-SD</v>
      </c>
      <c r="U51" s="238"/>
      <c r="V51" s="270">
        <f ca="1">IF(C51="",NA(),MATCH($B51&amp;$C51,'Smelter Look-up'!$J:$J,0))</f>
        <v>234</v>
      </c>
      <c r="W51" s="271"/>
      <c r="X51" s="271">
        <f t="shared" ca="1" si="7"/>
        <v>0</v>
      </c>
      <c r="Y51" s="271"/>
      <c r="Z51" s="271"/>
      <c r="AB51" s="273" t="str">
        <f t="shared" ca="1" si="8"/>
        <v>GoldShandong Gold Smelting Co., Ltd.</v>
      </c>
    </row>
    <row r="52" spans="1:28" s="272" customFormat="1" ht="114.75">
      <c r="A52" s="324" t="s">
        <v>13395</v>
      </c>
      <c r="B52" s="215" t="str">
        <f ca="1">IF(LEN(A52)=0,"",INDEX('Smelter Look-up'!$A:$A,MATCH($A52,'Smelter Look-up'!$E:$E,0)))</f>
        <v>Gold</v>
      </c>
      <c r="C52" s="219" t="str">
        <f ca="1">IF(LEN(A52)=0,"",INDEX('Smelter Look-up'!$C:$C,MATCH($A52,'Smelter Look-up'!$E:$E,0)))</f>
        <v>Hunan Guiyang yinxing Nonferrous Smelting Co., Ltd.</v>
      </c>
      <c r="D52" s="278"/>
      <c r="E52" s="215" t="str">
        <f ca="1">IF(ISERROR($V52),"",OFFSET('Smelter Look-up'!$D$4,$V52-4,0)&amp;"")</f>
        <v>CHINA</v>
      </c>
      <c r="F52" s="215" t="str">
        <f ca="1">IF(ISERROR($V52),"",OFFSET('Smelter Look-up'!$E$4,$V52-4,0))</f>
        <v>CID000773</v>
      </c>
      <c r="G52" s="215" t="str">
        <f ca="1">IF(C52=$X$4,"Enter smelter details",IF(ISERROR($V52),"",OFFSET('Smelter Look-up'!$F$4,$V52-4,0)))</f>
        <v>RMI</v>
      </c>
      <c r="H52" s="216">
        <f ca="1">IF(ISERROR($V52),"",OFFSET('Smelter Look-up'!$G$4,$V52-4,0))</f>
        <v>0</v>
      </c>
      <c r="I52" s="217" t="str">
        <f ca="1">IF(ISERROR($V52),"",OFFSET('Smelter Look-up'!$H$4,$V52-4,0))</f>
        <v>Chenzhou</v>
      </c>
      <c r="J52" s="217" t="str">
        <f ca="1">IF(ISERROR($V52),"",OFFSET('Smelter Look-up'!$I$4,$V52-4,0))</f>
        <v>Hunan Sheng</v>
      </c>
      <c r="K52" s="268"/>
      <c r="L52" s="268"/>
      <c r="M52" s="268"/>
      <c r="N52" s="268"/>
      <c r="O52" s="268"/>
      <c r="P52" s="218"/>
      <c r="Q52" s="269"/>
      <c r="R52" s="215" t="str">
        <f ca="1">IF(ISERROR($V52),"",OFFSET('Smelter Look-up'!$C$4,$V52-4,0)&amp;"")</f>
        <v>Hunan Guiyang yinxing Nonferrous Smelting Co., Ltd.</v>
      </c>
      <c r="S52" s="222" t="str">
        <f t="shared" ca="1" si="6"/>
        <v>CN</v>
      </c>
      <c r="T52" s="222" t="str">
        <f ca="1">IF(B52="","",IF(ISERROR(MATCH($J52,SorP!$B$1:$B$6230,0)),"",INDIRECT("'SorP'!$A$"&amp;MATCH($J52,SorP!$B$1:$B$6230,0))))</f>
        <v>CN-HN</v>
      </c>
      <c r="U52" s="238"/>
      <c r="V52" s="270">
        <f ca="1">IF(C52="",NA(),MATCH($B52&amp;$C52,'Smelter Look-up'!$J:$J,0))</f>
        <v>108</v>
      </c>
      <c r="W52" s="271"/>
      <c r="X52" s="271">
        <f t="shared" ca="1" si="7"/>
        <v>0</v>
      </c>
      <c r="Y52" s="271"/>
      <c r="Z52" s="271"/>
      <c r="AB52" s="273" t="str">
        <f t="shared" ca="1" si="8"/>
        <v>GoldHunan Guiyang yinxing Nonferrous Smelting Co., Ltd.</v>
      </c>
    </row>
    <row r="53" spans="1:28" s="272" customFormat="1" ht="25.5">
      <c r="A53" s="324" t="s">
        <v>686</v>
      </c>
      <c r="B53" s="215" t="str">
        <f ca="1">IF(LEN(A53)=0,"",INDEX('Smelter Look-up'!$A:$A,MATCH($A53,'Smelter Look-up'!$E:$E,0)))</f>
        <v>Gold</v>
      </c>
      <c r="C53" s="219" t="str">
        <f ca="1">IF(LEN(A53)=0,"",INDEX('Smelter Look-up'!$C:$C,MATCH($A53,'Smelter Look-up'!$E:$E,0)))</f>
        <v>Japan Mint</v>
      </c>
      <c r="D53" s="278"/>
      <c r="E53" s="215" t="str">
        <f ca="1">IF(ISERROR($V53),"",OFFSET('Smelter Look-up'!$D$4,$V53-4,0)&amp;"")</f>
        <v>JAPAN</v>
      </c>
      <c r="F53" s="215" t="str">
        <f ca="1">IF(ISERROR($V53),"",OFFSET('Smelter Look-up'!$E$4,$V53-4,0))</f>
        <v>CID000823</v>
      </c>
      <c r="G53" s="215" t="str">
        <f ca="1">IF(C53=$X$4,"Enter smelter details",IF(ISERROR($V53),"",OFFSET('Smelter Look-up'!$F$4,$V53-4,0)))</f>
        <v>RMI</v>
      </c>
      <c r="H53" s="216">
        <f ca="1">IF(ISERROR($V53),"",OFFSET('Smelter Look-up'!$G$4,$V53-4,0))</f>
        <v>0</v>
      </c>
      <c r="I53" s="217" t="str">
        <f ca="1">IF(ISERROR($V53),"",OFFSET('Smelter Look-up'!$H$4,$V53-4,0))</f>
        <v>Osaka</v>
      </c>
      <c r="J53" s="217" t="str">
        <f ca="1">IF(ISERROR($V53),"",OFFSET('Smelter Look-up'!$I$4,$V53-4,0))</f>
        <v>Osaka</v>
      </c>
      <c r="K53" s="268"/>
      <c r="L53" s="268"/>
      <c r="M53" s="268"/>
      <c r="N53" s="268"/>
      <c r="O53" s="268"/>
      <c r="P53" s="218"/>
      <c r="Q53" s="269"/>
      <c r="R53" s="215" t="str">
        <f ca="1">IF(ISERROR($V53),"",OFFSET('Smelter Look-up'!$C$4,$V53-4,0)&amp;"")</f>
        <v>Japan Mint</v>
      </c>
      <c r="S53" s="222" t="str">
        <f t="shared" ca="1" si="6"/>
        <v>JP</v>
      </c>
      <c r="T53" s="222" t="str">
        <f ca="1">IF(B53="","",IF(ISERROR(MATCH($J53,SorP!$B$1:$B$6230,0)),"",INDIRECT("'SorP'!$A$"&amp;MATCH($J53,SorP!$B$1:$B$6230,0))))</f>
        <v>JP-27</v>
      </c>
      <c r="U53" s="238"/>
      <c r="V53" s="270">
        <f ca="1">IF(C53="",NA(),MATCH($B53&amp;$C53,'Smelter Look-up'!$J:$J,0))</f>
        <v>118</v>
      </c>
      <c r="W53" s="271"/>
      <c r="X53" s="271">
        <f t="shared" ca="1" si="7"/>
        <v>0</v>
      </c>
      <c r="Y53" s="271"/>
      <c r="Z53" s="271"/>
      <c r="AB53" s="273" t="str">
        <f t="shared" ca="1" si="8"/>
        <v>GoldJapan Mint</v>
      </c>
    </row>
    <row r="54" spans="1:28" s="272" customFormat="1" ht="102">
      <c r="A54" s="324" t="s">
        <v>657</v>
      </c>
      <c r="B54" s="215" t="str">
        <f ca="1">IF(LEN(A54)=0,"",INDEX('Smelter Look-up'!$A:$A,MATCH($A54,'Smelter Look-up'!$E:$E,0)))</f>
        <v>Gold</v>
      </c>
      <c r="C54" s="219" t="str">
        <f ca="1">IF(LEN(A54)=0,"",INDEX('Smelter Look-up'!$C:$C,MATCH($A54,'Smelter Look-up'!$E:$E,0)))</f>
        <v>Atasay Kuyumculuk Sanayi Ve Ticaret A.S.</v>
      </c>
      <c r="D54" s="278"/>
      <c r="E54" s="215" t="str">
        <f ca="1">IF(ISERROR($V54),"",OFFSET('Smelter Look-up'!$D$4,$V54-4,0)&amp;"")</f>
        <v>TURKEY</v>
      </c>
      <c r="F54" s="215" t="str">
        <f ca="1">IF(ISERROR($V54),"",OFFSET('Smelter Look-up'!$E$4,$V54-4,0))</f>
        <v>CID000103</v>
      </c>
      <c r="G54" s="215" t="str">
        <f ca="1">IF(C54=$X$4,"Enter smelter details",IF(ISERROR($V54),"",OFFSET('Smelter Look-up'!$F$4,$V54-4,0)))</f>
        <v>RMI</v>
      </c>
      <c r="H54" s="216">
        <f ca="1">IF(ISERROR($V54),"",OFFSET('Smelter Look-up'!$G$4,$V54-4,0))</f>
        <v>0</v>
      </c>
      <c r="I54" s="217" t="str">
        <f ca="1">IF(ISERROR($V54),"",OFFSET('Smelter Look-up'!$H$4,$V54-4,0))</f>
        <v>Istanbul</v>
      </c>
      <c r="J54" s="217" t="str">
        <f ca="1">IF(ISERROR($V54),"",OFFSET('Smelter Look-up'!$I$4,$V54-4,0))</f>
        <v>İstanbul</v>
      </c>
      <c r="K54" s="268"/>
      <c r="L54" s="268"/>
      <c r="M54" s="268"/>
      <c r="N54" s="268"/>
      <c r="O54" s="268"/>
      <c r="P54" s="218"/>
      <c r="Q54" s="269"/>
      <c r="R54" s="215" t="str">
        <f ca="1">IF(ISERROR($V54),"",OFFSET('Smelter Look-up'!$C$4,$V54-4,0)&amp;"")</f>
        <v>Atasay Kuyumculuk Sanayi Ve Ticaret A.S.</v>
      </c>
      <c r="S54" s="222" t="str">
        <f t="shared" ca="1" si="6"/>
        <v>TR</v>
      </c>
      <c r="T54" s="222" t="str">
        <f ca="1">IF(B54="","",IF(ISERROR(MATCH($J54,SorP!$B$1:$B$6230,0)),"",INDIRECT("'SorP'!$A$"&amp;MATCH($J54,SorP!$B$1:$B$6230,0))))</f>
        <v>TR-34</v>
      </c>
      <c r="U54" s="238"/>
      <c r="V54" s="270">
        <f ca="1">IF(C54="",NA(),MATCH($B54&amp;$C54,'Smelter Look-up'!$J:$J,0))</f>
        <v>31</v>
      </c>
      <c r="W54" s="271"/>
      <c r="X54" s="271">
        <f t="shared" ca="1" si="7"/>
        <v>0</v>
      </c>
      <c r="Y54" s="271"/>
      <c r="Z54" s="271"/>
      <c r="AB54" s="273" t="str">
        <f t="shared" ca="1" si="8"/>
        <v>GoldAtasay Kuyumculuk Sanayi Ve Ticaret A.S.</v>
      </c>
    </row>
    <row r="55" spans="1:28" s="272" customFormat="1" ht="89.25">
      <c r="A55" s="324" t="s">
        <v>716</v>
      </c>
      <c r="B55" s="215" t="str">
        <f ca="1">IF(LEN(A55)=0,"",INDEX('Smelter Look-up'!$A:$A,MATCH($A55,'Smelter Look-up'!$E:$E,0)))</f>
        <v>Gold</v>
      </c>
      <c r="C55" s="219" t="str">
        <f ca="1">IF(LEN(A55)=0,"",INDEX('Smelter Look-up'!$C:$C,MATCH($A55,'Smelter Look-up'!$E:$E,0)))</f>
        <v>Ohura Precious Metal Industry Co., Ltd.</v>
      </c>
      <c r="D55" s="278"/>
      <c r="E55" s="215" t="str">
        <f ca="1">IF(ISERROR($V55),"",OFFSET('Smelter Look-up'!$D$4,$V55-4,0)&amp;"")</f>
        <v>JAPAN</v>
      </c>
      <c r="F55" s="215" t="str">
        <f ca="1">IF(ISERROR($V55),"",OFFSET('Smelter Look-up'!$E$4,$V55-4,0))</f>
        <v>CID001325</v>
      </c>
      <c r="G55" s="215" t="str">
        <f ca="1">IF(C55=$X$4,"Enter smelter details",IF(ISERROR($V55),"",OFFSET('Smelter Look-up'!$F$4,$V55-4,0)))</f>
        <v>RMI</v>
      </c>
      <c r="H55" s="216">
        <f ca="1">IF(ISERROR($V55),"",OFFSET('Smelter Look-up'!$G$4,$V55-4,0))</f>
        <v>0</v>
      </c>
      <c r="I55" s="217" t="str">
        <f ca="1">IF(ISERROR($V55),"",OFFSET('Smelter Look-up'!$H$4,$V55-4,0))</f>
        <v>Nara-shi</v>
      </c>
      <c r="J55" s="217" t="str">
        <f ca="1">IF(ISERROR($V55),"",OFFSET('Smelter Look-up'!$I$4,$V55-4,0))</f>
        <v>Nara</v>
      </c>
      <c r="K55" s="268"/>
      <c r="L55" s="268"/>
      <c r="M55" s="268"/>
      <c r="N55" s="268"/>
      <c r="O55" s="268"/>
      <c r="P55" s="218"/>
      <c r="Q55" s="269"/>
      <c r="R55" s="215" t="str">
        <f ca="1">IF(ISERROR($V55),"",OFFSET('Smelter Look-up'!$C$4,$V55-4,0)&amp;"")</f>
        <v>Ohura Precious Metal Industry Co., Ltd.</v>
      </c>
      <c r="S55" s="222" t="str">
        <f t="shared" ca="1" si="6"/>
        <v>JP</v>
      </c>
      <c r="T55" s="222" t="str">
        <f ca="1">IF(B55="","",IF(ISERROR(MATCH($J55,SorP!$B$1:$B$6230,0)),"",INDIRECT("'SorP'!$A$"&amp;MATCH($J55,SorP!$B$1:$B$6230,0))))</f>
        <v>JP-29</v>
      </c>
      <c r="U55" s="238"/>
      <c r="V55" s="270">
        <f ca="1">IF(C55="",NA(),MATCH($B55&amp;$C55,'Smelter Look-up'!$J:$J,0))</f>
        <v>193</v>
      </c>
      <c r="W55" s="271"/>
      <c r="X55" s="271">
        <f t="shared" ca="1" si="7"/>
        <v>0</v>
      </c>
      <c r="Y55" s="271"/>
      <c r="Z55" s="271"/>
      <c r="AB55" s="273" t="str">
        <f t="shared" ca="1" si="8"/>
        <v>GoldOhura Precious Metal Industry Co., Ltd.</v>
      </c>
    </row>
    <row r="56" spans="1:28" s="272" customFormat="1" ht="153">
      <c r="A56" s="324" t="s">
        <v>717</v>
      </c>
      <c r="B56" s="215" t="str">
        <f ca="1">IF(LEN(A56)=0,"",INDEX('Smelter Look-up'!$A:$A,MATCH($A56,'Smelter Look-up'!$E:$E,0)))</f>
        <v>Gold</v>
      </c>
      <c r="C56" s="219" t="str">
        <f ca="1">IF(LEN(A56)=0,"",INDEX('Smelter Look-up'!$C:$C,MATCH($A56,'Smelter Look-up'!$E:$E,0)))</f>
        <v>OJSC "The Gulidov Krasnoyarsk Non-Ferrous Metals Plant" (OJSC Krastsvetmet)</v>
      </c>
      <c r="D56" s="278"/>
      <c r="E56" s="215" t="str">
        <f ca="1">IF(ISERROR($V56),"",OFFSET('Smelter Look-up'!$D$4,$V56-4,0)&amp;"")</f>
        <v>RUSSIAN FEDERATION</v>
      </c>
      <c r="F56" s="215" t="str">
        <f ca="1">IF(ISERROR($V56),"",OFFSET('Smelter Look-up'!$E$4,$V56-4,0))</f>
        <v>CID001326</v>
      </c>
      <c r="G56" s="215" t="str">
        <f ca="1">IF(C56=$X$4,"Enter smelter details",IF(ISERROR($V56),"",OFFSET('Smelter Look-up'!$F$4,$V56-4,0)))</f>
        <v>RMI</v>
      </c>
      <c r="H56" s="216">
        <f ca="1">IF(ISERROR($V56),"",OFFSET('Smelter Look-up'!$G$4,$V56-4,0))</f>
        <v>0</v>
      </c>
      <c r="I56" s="217" t="str">
        <f ca="1">IF(ISERROR($V56),"",OFFSET('Smelter Look-up'!$H$4,$V56-4,0))</f>
        <v>Krasnoyarsk</v>
      </c>
      <c r="J56" s="217" t="str">
        <f ca="1">IF(ISERROR($V56),"",OFFSET('Smelter Look-up'!$I$4,$V56-4,0))</f>
        <v>Krasnoyarskiy kray</v>
      </c>
      <c r="K56" s="268"/>
      <c r="L56" s="268"/>
      <c r="M56" s="268"/>
      <c r="N56" s="268"/>
      <c r="O56" s="268"/>
      <c r="P56" s="218"/>
      <c r="Q56" s="269"/>
      <c r="R56" s="215" t="str">
        <f ca="1">IF(ISERROR($V56),"",OFFSET('Smelter Look-up'!$C$4,$V56-4,0)&amp;"")</f>
        <v>OJSC "The Gulidov Krasnoyarsk Non-Ferrous Metals Plant" (OJSC Krastsvetmet)</v>
      </c>
      <c r="S56" s="222" t="str">
        <f t="shared" ca="1" si="6"/>
        <v>RU</v>
      </c>
      <c r="T56" s="222" t="str">
        <f ca="1">IF(B56="","",IF(ISERROR(MATCH($J56,SorP!$B$1:$B$6230,0)),"",INDIRECT("'SorP'!$A$"&amp;MATCH($J56,SorP!$B$1:$B$6230,0))))</f>
        <v>RU-KYA</v>
      </c>
      <c r="U56" s="238"/>
      <c r="V56" s="270">
        <f ca="1">IF(C56="",NA(),MATCH($B56&amp;$C56,'Smelter Look-up'!$J:$J,0))</f>
        <v>194</v>
      </c>
      <c r="W56" s="271"/>
      <c r="X56" s="271">
        <f t="shared" ca="1" si="7"/>
        <v>0</v>
      </c>
      <c r="Y56" s="271"/>
      <c r="Z56" s="271"/>
      <c r="AB56" s="273" t="str">
        <f t="shared" ca="1" si="8"/>
        <v>GoldOJSC "The Gulidov Krasnoyarsk Non-Ferrous Metals Plant" (OJSC Krastsvetmet)</v>
      </c>
    </row>
    <row r="57" spans="1:28" s="272" customFormat="1" ht="76.5">
      <c r="A57" s="324" t="s">
        <v>720</v>
      </c>
      <c r="B57" s="215" t="str">
        <f ca="1">IF(LEN(A57)=0,"",INDEX('Smelter Look-up'!$A:$A,MATCH($A57,'Smelter Look-up'!$E:$E,0)))</f>
        <v>Gold</v>
      </c>
      <c r="C57" s="219" t="str">
        <f ca="1">IF(LEN(A57)=0,"",INDEX('Smelter Look-up'!$C:$C,MATCH($A57,'Smelter Look-up'!$E:$E,0)))</f>
        <v>Prioksky Plant of Non-Ferrous Metals</v>
      </c>
      <c r="D57" s="278"/>
      <c r="E57" s="215" t="str">
        <f ca="1">IF(ISERROR($V57),"",OFFSET('Smelter Look-up'!$D$4,$V57-4,0)&amp;"")</f>
        <v>RUSSIAN FEDERATION</v>
      </c>
      <c r="F57" s="215" t="str">
        <f ca="1">IF(ISERROR($V57),"",OFFSET('Smelter Look-up'!$E$4,$V57-4,0))</f>
        <v>CID001386</v>
      </c>
      <c r="G57" s="215" t="str">
        <f ca="1">IF(C57=$X$4,"Enter smelter details",IF(ISERROR($V57),"",OFFSET('Smelter Look-up'!$F$4,$V57-4,0)))</f>
        <v>RMI</v>
      </c>
      <c r="H57" s="216">
        <f ca="1">IF(ISERROR($V57),"",OFFSET('Smelter Look-up'!$G$4,$V57-4,0))</f>
        <v>0</v>
      </c>
      <c r="I57" s="217" t="str">
        <f ca="1">IF(ISERROR($V57),"",OFFSET('Smelter Look-up'!$H$4,$V57-4,0))</f>
        <v>Kasimov</v>
      </c>
      <c r="J57" s="217" t="str">
        <f ca="1">IF(ISERROR($V57),"",OFFSET('Smelter Look-up'!$I$4,$V57-4,0))</f>
        <v>Ryazanskaya oblast'</v>
      </c>
      <c r="K57" s="268"/>
      <c r="L57" s="268"/>
      <c r="M57" s="268"/>
      <c r="N57" s="268"/>
      <c r="O57" s="268"/>
      <c r="P57" s="218"/>
      <c r="Q57" s="269"/>
      <c r="R57" s="215" t="str">
        <f ca="1">IF(ISERROR($V57),"",OFFSET('Smelter Look-up'!$C$4,$V57-4,0)&amp;"")</f>
        <v>Prioksky Plant of Non-Ferrous Metals</v>
      </c>
      <c r="S57" s="222" t="str">
        <f t="shared" ca="1" si="6"/>
        <v>RU</v>
      </c>
      <c r="T57" s="222" t="str">
        <f ca="1">IF(B57="","",IF(ISERROR(MATCH($J57,SorP!$B$1:$B$6230,0)),"",INDIRECT("'SorP'!$A$"&amp;MATCH($J57,SorP!$B$1:$B$6230,0))))</f>
        <v>RU-RYA</v>
      </c>
      <c r="U57" s="238"/>
      <c r="V57" s="270">
        <f ca="1">IF(C57="",NA(),MATCH($B57&amp;$C57,'Smelter Look-up'!$J:$J,0))</f>
        <v>204</v>
      </c>
      <c r="W57" s="271"/>
      <c r="X57" s="271">
        <f t="shared" ca="1" si="7"/>
        <v>0</v>
      </c>
      <c r="Y57" s="271"/>
      <c r="Z57" s="271"/>
      <c r="AB57" s="273" t="str">
        <f t="shared" ca="1" si="8"/>
        <v>GoldPrioksky Plant of Non-Ferrous Metals</v>
      </c>
    </row>
    <row r="58" spans="1:28" s="272" customFormat="1" ht="25.5">
      <c r="A58" s="214" t="s">
        <v>737</v>
      </c>
      <c r="B58" s="215" t="str">
        <f ca="1">IF(LEN(A58)=0,"",INDEX('Smelter Look-up'!$A:$A,MATCH($A58,'Smelter Look-up'!$E:$E,0)))</f>
        <v>Gold</v>
      </c>
      <c r="C58" s="219" t="str">
        <f ca="1">IF(LEN(A58)=0,"",INDEX('Smelter Look-up'!$C:$C,MATCH($A58,'Smelter Look-up'!$E:$E,0)))</f>
        <v>Torecom</v>
      </c>
      <c r="D58" s="278"/>
      <c r="E58" s="215" t="str">
        <f ca="1">IF(ISERROR($V58),"",OFFSET('Smelter Look-up'!$D$4,$V58-4,0)&amp;"")</f>
        <v>KOREA, REPUBLIC OF</v>
      </c>
      <c r="F58" s="215" t="str">
        <f ca="1">IF(ISERROR($V58),"",OFFSET('Smelter Look-up'!$E$4,$V58-4,0))</f>
        <v>CID001955</v>
      </c>
      <c r="G58" s="215" t="str">
        <f ca="1">IF(C58=$X$4,"Enter smelter details",IF(ISERROR($V58),"",OFFSET('Smelter Look-up'!$F$4,$V58-4,0)))</f>
        <v>RMI</v>
      </c>
      <c r="H58" s="216">
        <f ca="1">IF(ISERROR($V58),"",OFFSET('Smelter Look-up'!$G$4,$V58-4,0))</f>
        <v>0</v>
      </c>
      <c r="I58" s="217" t="str">
        <f ca="1">IF(ISERROR($V58),"",OFFSET('Smelter Look-up'!$H$4,$V58-4,0))</f>
        <v>Asan</v>
      </c>
      <c r="J58" s="217" t="str">
        <f ca="1">IF(ISERROR($V58),"",OFFSET('Smelter Look-up'!$I$4,$V58-4,0))</f>
        <v>Chungcheongnam-do</v>
      </c>
      <c r="K58" s="268"/>
      <c r="L58" s="268"/>
      <c r="M58" s="268"/>
      <c r="N58" s="268"/>
      <c r="O58" s="268"/>
      <c r="P58" s="218"/>
      <c r="Q58" s="269"/>
      <c r="R58" s="215" t="str">
        <f ca="1">IF(ISERROR($V58),"",OFFSET('Smelter Look-up'!$C$4,$V58-4,0)&amp;"")</f>
        <v>Torecom</v>
      </c>
      <c r="S58" s="222" t="str">
        <f t="shared" ca="1" si="6"/>
        <v>KR</v>
      </c>
      <c r="T58" s="222" t="str">
        <f ca="1">IF(B58="","",IF(ISERROR(MATCH($J58,SorP!$B$1:$B$6230,0)),"",INDIRECT("'SorP'!$A$"&amp;MATCH($J58,SorP!$B$1:$B$6230,0))))</f>
        <v>KR-44</v>
      </c>
      <c r="U58" s="238"/>
      <c r="V58" s="270">
        <f ca="1">IF(C58="",NA(),MATCH($B58&amp;$C58,'Smelter Look-up'!$J:$J,0))</f>
        <v>281</v>
      </c>
      <c r="W58" s="271"/>
      <c r="X58" s="271">
        <f t="shared" ca="1" si="7"/>
        <v>0</v>
      </c>
      <c r="Y58" s="271"/>
      <c r="Z58" s="271"/>
      <c r="AB58" s="273" t="str">
        <f t="shared" ca="1" si="8"/>
        <v>GoldTorecom</v>
      </c>
    </row>
    <row r="59" spans="1:28" s="272" customFormat="1" ht="51">
      <c r="A59" s="214" t="s">
        <v>654</v>
      </c>
      <c r="B59" s="215" t="str">
        <f ca="1">IF(LEN(A59)=0,"",INDEX('Smelter Look-up'!$A:$A,MATCH($A59,'Smelter Look-up'!$E:$E,0)))</f>
        <v>Gold</v>
      </c>
      <c r="C59" s="219" t="str">
        <f ca="1">IF(LEN(A59)=0,"",INDEX('Smelter Look-up'!$C:$C,MATCH($A59,'Smelter Look-up'!$E:$E,0)))</f>
        <v>Argor-Heraeus S.A.</v>
      </c>
      <c r="D59" s="278"/>
      <c r="E59" s="215" t="str">
        <f ca="1">IF(ISERROR($V59),"",OFFSET('Smelter Look-up'!$D$4,$V59-4,0)&amp;"")</f>
        <v>SWITZERLAND</v>
      </c>
      <c r="F59" s="215" t="str">
        <f ca="1">IF(ISERROR($V59),"",OFFSET('Smelter Look-up'!$E$4,$V59-4,0))</f>
        <v>CID000077</v>
      </c>
      <c r="G59" s="215" t="str">
        <f ca="1">IF(C59=$X$4,"Enter smelter details",IF(ISERROR($V59),"",OFFSET('Smelter Look-up'!$F$4,$V59-4,0)))</f>
        <v>RMI</v>
      </c>
      <c r="H59" s="216">
        <f ca="1">IF(ISERROR($V59),"",OFFSET('Smelter Look-up'!$G$4,$V59-4,0))</f>
        <v>0</v>
      </c>
      <c r="I59" s="217" t="str">
        <f ca="1">IF(ISERROR($V59),"",OFFSET('Smelter Look-up'!$H$4,$V59-4,0))</f>
        <v>Mendrisio</v>
      </c>
      <c r="J59" s="217" t="str">
        <f ca="1">IF(ISERROR($V59),"",OFFSET('Smelter Look-up'!$I$4,$V59-4,0))</f>
        <v>Ticino</v>
      </c>
      <c r="K59" s="268"/>
      <c r="L59" s="268"/>
      <c r="M59" s="268"/>
      <c r="N59" s="268"/>
      <c r="O59" s="268"/>
      <c r="P59" s="218"/>
      <c r="Q59" s="269"/>
      <c r="R59" s="215" t="str">
        <f ca="1">IF(ISERROR($V59),"",OFFSET('Smelter Look-up'!$C$4,$V59-4,0)&amp;"")</f>
        <v>Argor-Heraeus S.A.</v>
      </c>
      <c r="S59" s="222" t="str">
        <f t="shared" ca="1" si="6"/>
        <v>CH</v>
      </c>
      <c r="T59" s="222" t="str">
        <f ca="1">IF(B59="","",IF(ISERROR(MATCH($J59,SorP!$B$1:$B$6230,0)),"",INDIRECT("'SorP'!$A$"&amp;MATCH($J59,SorP!$B$1:$B$6230,0))))</f>
        <v>CH-TI</v>
      </c>
      <c r="U59" s="238"/>
      <c r="V59" s="270">
        <f ca="1">IF(C59="",NA(),MATCH($B59&amp;$C59,'Smelter Look-up'!$J:$J,0))</f>
        <v>25</v>
      </c>
      <c r="W59" s="271"/>
      <c r="X59" s="271">
        <f t="shared" ca="1" si="7"/>
        <v>0</v>
      </c>
      <c r="Y59" s="271"/>
      <c r="Z59" s="271"/>
      <c r="AB59" s="273" t="str">
        <f t="shared" ca="1" si="8"/>
        <v>GoldArgor-Heraeus S.A.</v>
      </c>
    </row>
    <row r="60" spans="1:28" s="272" customFormat="1" ht="51">
      <c r="A60" s="214" t="s">
        <v>656</v>
      </c>
      <c r="B60" s="215" t="str">
        <f ca="1">IF(LEN(A60)=0,"",INDEX('Smelter Look-up'!$A:$A,MATCH($A60,'Smelter Look-up'!$E:$E,0)))</f>
        <v>Gold</v>
      </c>
      <c r="C60" s="219" t="str">
        <f ca="1">IF(LEN(A60)=0,"",INDEX('Smelter Look-up'!$C:$C,MATCH($A60,'Smelter Look-up'!$E:$E,0)))</f>
        <v>Asaka Riken Co., Ltd.</v>
      </c>
      <c r="D60" s="278"/>
      <c r="E60" s="215" t="str">
        <f ca="1">IF(ISERROR($V60),"",OFFSET('Smelter Look-up'!$D$4,$V60-4,0)&amp;"")</f>
        <v>JAPAN</v>
      </c>
      <c r="F60" s="215" t="str">
        <f ca="1">IF(ISERROR($V60),"",OFFSET('Smelter Look-up'!$E$4,$V60-4,0))</f>
        <v>CID000090</v>
      </c>
      <c r="G60" s="215" t="str">
        <f ca="1">IF(C60=$X$4,"Enter smelter details",IF(ISERROR($V60),"",OFFSET('Smelter Look-up'!$F$4,$V60-4,0)))</f>
        <v>RMI</v>
      </c>
      <c r="H60" s="216">
        <f ca="1">IF(ISERROR($V60),"",OFFSET('Smelter Look-up'!$G$4,$V60-4,0))</f>
        <v>0</v>
      </c>
      <c r="I60" s="217" t="str">
        <f ca="1">IF(ISERROR($V60),"",OFFSET('Smelter Look-up'!$H$4,$V60-4,0))</f>
        <v>Tamura</v>
      </c>
      <c r="J60" s="217" t="str">
        <f ca="1">IF(ISERROR($V60),"",OFFSET('Smelter Look-up'!$I$4,$V60-4,0))</f>
        <v>Fukushima</v>
      </c>
      <c r="K60" s="268"/>
      <c r="L60" s="268"/>
      <c r="M60" s="268"/>
      <c r="N60" s="268"/>
      <c r="O60" s="268"/>
      <c r="P60" s="218"/>
      <c r="Q60" s="269"/>
      <c r="R60" s="215" t="str">
        <f ca="1">IF(ISERROR($V60),"",OFFSET('Smelter Look-up'!$C$4,$V60-4,0)&amp;"")</f>
        <v>Asaka Riken Co., Ltd.</v>
      </c>
      <c r="S60" s="222" t="str">
        <f t="shared" ca="1" si="6"/>
        <v>JP</v>
      </c>
      <c r="T60" s="222" t="str">
        <f ca="1">IF(B60="","",IF(ISERROR(MATCH($J60,SorP!$B$1:$B$6230,0)),"",INDIRECT("'SorP'!$A$"&amp;MATCH($J60,SorP!$B$1:$B$6230,0))))</f>
        <v>JP-07</v>
      </c>
      <c r="U60" s="238"/>
      <c r="V60" s="270">
        <f ca="1">IF(C60="",NA(),MATCH($B60&amp;$C60,'Smelter Look-up'!$J:$J,0))</f>
        <v>29</v>
      </c>
      <c r="W60" s="271"/>
      <c r="X60" s="271">
        <f t="shared" ca="1" si="7"/>
        <v>0</v>
      </c>
      <c r="Y60" s="271"/>
      <c r="Z60" s="271"/>
      <c r="AB60" s="273" t="str">
        <f t="shared" ca="1" si="8"/>
        <v>GoldAsaka Riken Co., Ltd.</v>
      </c>
    </row>
    <row r="61" spans="1:28" s="272" customFormat="1" ht="76.5">
      <c r="A61" s="214" t="s">
        <v>692</v>
      </c>
      <c r="B61" s="215" t="str">
        <f ca="1">IF(LEN(A61)=0,"",INDEX('Smelter Look-up'!$A:$A,MATCH($A61,'Smelter Look-up'!$E:$E,0)))</f>
        <v>Gold</v>
      </c>
      <c r="C61" s="219" t="str">
        <f ca="1">IF(LEN(A61)=0,"",INDEX('Smelter Look-up'!$C:$C,MATCH($A61,'Smelter Look-up'!$E:$E,0)))</f>
        <v>JX Nippon Mining &amp; Metals Co., Ltd.</v>
      </c>
      <c r="D61" s="278"/>
      <c r="E61" s="215" t="str">
        <f ca="1">IF(ISERROR($V61),"",OFFSET('Smelter Look-up'!$D$4,$V61-4,0)&amp;"")</f>
        <v>JAPAN</v>
      </c>
      <c r="F61" s="215" t="str">
        <f ca="1">IF(ISERROR($V61),"",OFFSET('Smelter Look-up'!$E$4,$V61-4,0))</f>
        <v>CID000937</v>
      </c>
      <c r="G61" s="215" t="str">
        <f ca="1">IF(C61=$X$4,"Enter smelter details",IF(ISERROR($V61),"",OFFSET('Smelter Look-up'!$F$4,$V61-4,0)))</f>
        <v>RMI</v>
      </c>
      <c r="H61" s="216">
        <f ca="1">IF(ISERROR($V61),"",OFFSET('Smelter Look-up'!$G$4,$V61-4,0))</f>
        <v>0</v>
      </c>
      <c r="I61" s="217" t="str">
        <f ca="1">IF(ISERROR($V61),"",OFFSET('Smelter Look-up'!$H$4,$V61-4,0))</f>
        <v>Ōita</v>
      </c>
      <c r="J61" s="217" t="str">
        <f ca="1">IF(ISERROR($V61),"",OFFSET('Smelter Look-up'!$I$4,$V61-4,0))</f>
        <v>Ôita</v>
      </c>
      <c r="K61" s="268"/>
      <c r="L61" s="268"/>
      <c r="M61" s="268"/>
      <c r="N61" s="268"/>
      <c r="O61" s="268"/>
      <c r="P61" s="218"/>
      <c r="Q61" s="269"/>
      <c r="R61" s="215" t="str">
        <f ca="1">IF(ISERROR($V61),"",OFFSET('Smelter Look-up'!$C$4,$V61-4,0)&amp;"")</f>
        <v>JX Nippon Mining &amp; Metals Co., Ltd.</v>
      </c>
      <c r="S61" s="222" t="str">
        <f t="shared" ca="1" si="6"/>
        <v>JP</v>
      </c>
      <c r="T61" s="222" t="str">
        <f ca="1">IF(B61="","",IF(ISERROR(MATCH($J61,SorP!$B$1:$B$6230,0)),"",INDIRECT("'SorP'!$A$"&amp;MATCH($J61,SorP!$B$1:$B$6230,0))))</f>
        <v>JP-44</v>
      </c>
      <c r="U61" s="238"/>
      <c r="V61" s="270">
        <f ca="1">IF(C61="",NA(),MATCH($B61&amp;$C61,'Smelter Look-up'!$J:$J,0))</f>
        <v>128</v>
      </c>
      <c r="W61" s="271"/>
      <c r="X61" s="271">
        <f t="shared" ca="1" si="7"/>
        <v>0</v>
      </c>
      <c r="Y61" s="271"/>
      <c r="Z61" s="271"/>
      <c r="AB61" s="273" t="str">
        <f t="shared" ca="1" si="8"/>
        <v>GoldJX Nippon Mining &amp; Metals Co., Ltd.</v>
      </c>
    </row>
    <row r="62" spans="1:28" s="272" customFormat="1" ht="89.25">
      <c r="A62" s="214" t="s">
        <v>772</v>
      </c>
      <c r="B62" s="215" t="str">
        <f ca="1">IF(LEN(A62)=0,"",INDEX('Smelter Look-up'!$A:$A,MATCH($A62,'Smelter Look-up'!$E:$E,0)))</f>
        <v>Tin</v>
      </c>
      <c r="C62" s="219" t="str">
        <f ca="1">IF(LEN(A62)=0,"",INDEX('Smelter Look-up'!$C:$C,MATCH($A62,'Smelter Look-up'!$E:$E,0)))</f>
        <v>Gejiu Kai Meng Industry and Trade LLC</v>
      </c>
      <c r="D62" s="278"/>
      <c r="E62" s="215" t="str">
        <f ca="1">IF(ISERROR($V62),"",OFFSET('Smelter Look-up'!$D$4,$V62-4,0)&amp;"")</f>
        <v>CHINA</v>
      </c>
      <c r="F62" s="215" t="str">
        <f ca="1">IF(ISERROR($V62),"",OFFSET('Smelter Look-up'!$E$4,$V62-4,0))</f>
        <v>CID000942</v>
      </c>
      <c r="G62" s="215" t="str">
        <f ca="1">IF(C62=$X$4,"Enter smelter details",IF(ISERROR($V62),"",OFFSET('Smelter Look-up'!$F$4,$V62-4,0)))</f>
        <v>RMI</v>
      </c>
      <c r="H62" s="216">
        <f ca="1">IF(ISERROR($V62),"",OFFSET('Smelter Look-up'!$G$4,$V62-4,0))</f>
        <v>0</v>
      </c>
      <c r="I62" s="217" t="str">
        <f ca="1">IF(ISERROR($V62),"",OFFSET('Smelter Look-up'!$H$4,$V62-4,0))</f>
        <v>Gejiu</v>
      </c>
      <c r="J62" s="217" t="str">
        <f ca="1">IF(ISERROR($V62),"",OFFSET('Smelter Look-up'!$I$4,$V62-4,0))</f>
        <v>Yunnan Sheng</v>
      </c>
      <c r="K62" s="268"/>
      <c r="L62" s="268"/>
      <c r="M62" s="268"/>
      <c r="N62" s="268"/>
      <c r="O62" s="268"/>
      <c r="P62" s="218"/>
      <c r="Q62" s="269"/>
      <c r="R62" s="215" t="str">
        <f ca="1">IF(ISERROR($V62),"",OFFSET('Smelter Look-up'!$C$4,$V62-4,0)&amp;"")</f>
        <v>Gejiu Kai Meng Industry and Trade LLC</v>
      </c>
      <c r="S62" s="222" t="str">
        <f t="shared" ca="1" si="6"/>
        <v>CN</v>
      </c>
      <c r="T62" s="222" t="str">
        <f ca="1">IF(B62="","",IF(ISERROR(MATCH($J62,SorP!$B$1:$B$6230,0)),"",INDIRECT("'SorP'!$A$"&amp;MATCH($J62,SorP!$B$1:$B$6230,0))))</f>
        <v>CN-YN</v>
      </c>
      <c r="U62" s="238"/>
      <c r="V62" s="270">
        <f ca="1">IF(C62="",NA(),MATCH($B62&amp;$C62,'Smelter Look-up'!$J:$J,0))</f>
        <v>427</v>
      </c>
      <c r="W62" s="271"/>
      <c r="X62" s="271">
        <f t="shared" ca="1" si="7"/>
        <v>0</v>
      </c>
      <c r="Y62" s="271"/>
      <c r="Z62" s="271"/>
      <c r="AB62" s="273" t="str">
        <f t="shared" ca="1" si="8"/>
        <v>TinGejiu Kai Meng Industry and Trade LLC</v>
      </c>
    </row>
    <row r="63" spans="1:28" s="272" customFormat="1" ht="25.5">
      <c r="A63" s="214" t="s">
        <v>693</v>
      </c>
      <c r="B63" s="215" t="str">
        <f ca="1">IF(LEN(A63)=0,"",INDEX('Smelter Look-up'!$A:$A,MATCH($A63,'Smelter Look-up'!$E:$E,0)))</f>
        <v>Gold</v>
      </c>
      <c r="C63" s="219" t="str">
        <f ca="1">IF(LEN(A63)=0,"",INDEX('Smelter Look-up'!$C:$C,MATCH($A63,'Smelter Look-up'!$E:$E,0)))</f>
        <v>Kazzinc</v>
      </c>
      <c r="D63" s="278"/>
      <c r="E63" s="215" t="str">
        <f ca="1">IF(ISERROR($V63),"",OFFSET('Smelter Look-up'!$D$4,$V63-4,0)&amp;"")</f>
        <v>KAZAKHSTAN</v>
      </c>
      <c r="F63" s="215" t="str">
        <f ca="1">IF(ISERROR($V63),"",OFFSET('Smelter Look-up'!$E$4,$V63-4,0))</f>
        <v>CID000957</v>
      </c>
      <c r="G63" s="215" t="str">
        <f ca="1">IF(C63=$X$4,"Enter smelter details",IF(ISERROR($V63),"",OFFSET('Smelter Look-up'!$F$4,$V63-4,0)))</f>
        <v>RMI</v>
      </c>
      <c r="H63" s="216">
        <f ca="1">IF(ISERROR($V63),"",OFFSET('Smelter Look-up'!$G$4,$V63-4,0))</f>
        <v>0</v>
      </c>
      <c r="I63" s="217" t="str">
        <f ca="1">IF(ISERROR($V63),"",OFFSET('Smelter Look-up'!$H$4,$V63-4,0))</f>
        <v>Ust-Kamenogorsk</v>
      </c>
      <c r="J63" s="217" t="str">
        <f ca="1">IF(ISERROR($V63),"",OFFSET('Smelter Look-up'!$I$4,$V63-4,0))</f>
        <v>Qaraghandy oblysy</v>
      </c>
      <c r="K63" s="268"/>
      <c r="L63" s="268"/>
      <c r="M63" s="268"/>
      <c r="N63" s="268"/>
      <c r="O63" s="268"/>
      <c r="P63" s="218"/>
      <c r="Q63" s="269"/>
      <c r="R63" s="215" t="str">
        <f ca="1">IF(ISERROR($V63),"",OFFSET('Smelter Look-up'!$C$4,$V63-4,0)&amp;"")</f>
        <v>Kazzinc</v>
      </c>
      <c r="S63" s="222" t="str">
        <f t="shared" ca="1" si="6"/>
        <v>KZ</v>
      </c>
      <c r="T63" s="222" t="str">
        <f ca="1">IF(B63="","",IF(ISERROR(MATCH($J63,SorP!$B$1:$B$6230,0)),"",INDIRECT("'SorP'!$A$"&amp;MATCH($J63,SorP!$B$1:$B$6230,0))))</f>
        <v>KZ-KAR</v>
      </c>
      <c r="U63" s="238"/>
      <c r="V63" s="270">
        <f ca="1">IF(C63="",NA(),MATCH($B63&amp;$C63,'Smelter Look-up'!$J:$J,0))</f>
        <v>132</v>
      </c>
      <c r="W63" s="271"/>
      <c r="X63" s="271">
        <f t="shared" ca="1" si="7"/>
        <v>0</v>
      </c>
      <c r="Y63" s="271"/>
      <c r="Z63" s="271"/>
      <c r="AB63" s="273" t="str">
        <f t="shared" ca="1" si="8"/>
        <v>GoldKazzinc</v>
      </c>
    </row>
    <row r="64" spans="1:28" s="272" customFormat="1" ht="89.25">
      <c r="A64" s="214" t="s">
        <v>719</v>
      </c>
      <c r="B64" s="215" t="str">
        <f ca="1">IF(LEN(A64)=0,"",INDEX('Smelter Look-up'!$A:$A,MATCH($A64,'Smelter Look-up'!$E:$E,0)))</f>
        <v>Gold</v>
      </c>
      <c r="C64" s="219" t="str">
        <f ca="1">IF(LEN(A64)=0,"",INDEX('Smelter Look-up'!$C:$C,MATCH($A64,'Smelter Look-up'!$E:$E,0)))</f>
        <v>Penglai Penggang Gold Industry Co., Ltd.</v>
      </c>
      <c r="D64" s="278"/>
      <c r="E64" s="215" t="str">
        <f ca="1">IF(ISERROR($V64),"",OFFSET('Smelter Look-up'!$D$4,$V64-4,0)&amp;"")</f>
        <v>CHINA</v>
      </c>
      <c r="F64" s="215" t="str">
        <f ca="1">IF(ISERROR($V64),"",OFFSET('Smelter Look-up'!$E$4,$V64-4,0))</f>
        <v>CID001362</v>
      </c>
      <c r="G64" s="215" t="str">
        <f ca="1">IF(C64=$X$4,"Enter smelter details",IF(ISERROR($V64),"",OFFSET('Smelter Look-up'!$F$4,$V64-4,0)))</f>
        <v>RMI</v>
      </c>
      <c r="H64" s="216">
        <f ca="1">IF(ISERROR($V64),"",OFFSET('Smelter Look-up'!$G$4,$V64-4,0))</f>
        <v>0</v>
      </c>
      <c r="I64" s="217" t="str">
        <f ca="1">IF(ISERROR($V64),"",OFFSET('Smelter Look-up'!$H$4,$V64-4,0))</f>
        <v>Penglai</v>
      </c>
      <c r="J64" s="217" t="str">
        <f ca="1">IF(ISERROR($V64),"",OFFSET('Smelter Look-up'!$I$4,$V64-4,0))</f>
        <v>Shandong Sheng</v>
      </c>
      <c r="K64" s="268"/>
      <c r="L64" s="268"/>
      <c r="M64" s="268"/>
      <c r="N64" s="268"/>
      <c r="O64" s="268"/>
      <c r="P64" s="218"/>
      <c r="Q64" s="269"/>
      <c r="R64" s="215" t="str">
        <f ca="1">IF(ISERROR($V64),"",OFFSET('Smelter Look-up'!$C$4,$V64-4,0)&amp;"")</f>
        <v>Penglai Penggang Gold Industry Co., Ltd.</v>
      </c>
      <c r="S64" s="222" t="str">
        <f t="shared" ca="1" si="6"/>
        <v>CN</v>
      </c>
      <c r="T64" s="222" t="str">
        <f ca="1">IF(B64="","",IF(ISERROR(MATCH($J64,SorP!$B$1:$B$6230,0)),"",INDIRECT("'SorP'!$A$"&amp;MATCH($J64,SorP!$B$1:$B$6230,0))))</f>
        <v>CN-SD</v>
      </c>
      <c r="U64" s="238"/>
      <c r="V64" s="270">
        <f ca="1">IF(C64="",NA(),MATCH($B64&amp;$C64,'Smelter Look-up'!$J:$J,0))</f>
        <v>200</v>
      </c>
      <c r="W64" s="271"/>
      <c r="X64" s="271">
        <f t="shared" ca="1" si="7"/>
        <v>0</v>
      </c>
      <c r="Y64" s="271"/>
      <c r="Z64" s="271"/>
      <c r="AB64" s="273" t="str">
        <f t="shared" ca="1" si="8"/>
        <v>GoldPenglai Penggang Gold Industry Co., Ltd.</v>
      </c>
    </row>
    <row r="65" spans="1:28" s="272" customFormat="1" ht="63.75">
      <c r="A65" s="214" t="s">
        <v>735</v>
      </c>
      <c r="B65" s="215" t="str">
        <f ca="1">IF(LEN(A65)=0,"",INDEX('Smelter Look-up'!$A:$A,MATCH($A65,'Smelter Look-up'!$E:$E,0)))</f>
        <v>Gold</v>
      </c>
      <c r="C65" s="219" t="str">
        <f ca="1">IF(LEN(A65)=0,"",INDEX('Smelter Look-up'!$C:$C,MATCH($A65,'Smelter Look-up'!$E:$E,0)))</f>
        <v>Tokuriki Honten Co., Ltd.</v>
      </c>
      <c r="D65" s="278"/>
      <c r="E65" s="215" t="str">
        <f ca="1">IF(ISERROR($V65),"",OFFSET('Smelter Look-up'!$D$4,$V65-4,0)&amp;"")</f>
        <v>JAPAN</v>
      </c>
      <c r="F65" s="215" t="str">
        <f ca="1">IF(ISERROR($V65),"",OFFSET('Smelter Look-up'!$E$4,$V65-4,0))</f>
        <v>CID001938</v>
      </c>
      <c r="G65" s="215" t="str">
        <f ca="1">IF(C65=$X$4,"Enter smelter details",IF(ISERROR($V65),"",OFFSET('Smelter Look-up'!$F$4,$V65-4,0)))</f>
        <v>RMI</v>
      </c>
      <c r="H65" s="216">
        <f ca="1">IF(ISERROR($V65),"",OFFSET('Smelter Look-up'!$G$4,$V65-4,0))</f>
        <v>0</v>
      </c>
      <c r="I65" s="217" t="str">
        <f ca="1">IF(ISERROR($V65),"",OFFSET('Smelter Look-up'!$H$4,$V65-4,0))</f>
        <v>Kuki</v>
      </c>
      <c r="J65" s="217" t="str">
        <f ca="1">IF(ISERROR($V65),"",OFFSET('Smelter Look-up'!$I$4,$V65-4,0))</f>
        <v>Saitama</v>
      </c>
      <c r="K65" s="268"/>
      <c r="L65" s="268"/>
      <c r="M65" s="268"/>
      <c r="N65" s="268"/>
      <c r="O65" s="268"/>
      <c r="P65" s="218"/>
      <c r="Q65" s="269"/>
      <c r="R65" s="215" t="str">
        <f ca="1">IF(ISERROR($V65),"",OFFSET('Smelter Look-up'!$C$4,$V65-4,0)&amp;"")</f>
        <v>Tokuriki Honten Co., Ltd.</v>
      </c>
      <c r="S65" s="222" t="str">
        <f t="shared" ca="1" si="6"/>
        <v>JP</v>
      </c>
      <c r="T65" s="222" t="str">
        <f ca="1">IF(B65="","",IF(ISERROR(MATCH($J65,SorP!$B$1:$B$6230,0)),"",INDIRECT("'SorP'!$A$"&amp;MATCH($J65,SorP!$B$1:$B$6230,0))))</f>
        <v>JP-11</v>
      </c>
      <c r="U65" s="238"/>
      <c r="V65" s="270">
        <f ca="1">IF(C65="",NA(),MATCH($B65&amp;$C65,'Smelter Look-up'!$J:$J,0))</f>
        <v>276</v>
      </c>
      <c r="W65" s="271"/>
      <c r="X65" s="271">
        <f t="shared" ca="1" si="7"/>
        <v>0</v>
      </c>
      <c r="Y65" s="271"/>
      <c r="Z65" s="271"/>
      <c r="AB65" s="273" t="str">
        <f t="shared" ca="1" si="8"/>
        <v>GoldTokuriki Honten Co., Ltd.</v>
      </c>
    </row>
    <row r="66" spans="1:28" s="272" customFormat="1" ht="102">
      <c r="A66" s="355" t="s">
        <v>736</v>
      </c>
      <c r="B66" s="215" t="str">
        <f ca="1">IF(LEN(A66)=0,"",INDEX('Smelter Look-up'!$A:$A,MATCH($A66,'Smelter Look-up'!$E:$E,0)))</f>
        <v>Gold</v>
      </c>
      <c r="C66" s="219" t="str">
        <f ca="1">IF(LEN(A66)=0,"",INDEX('Smelter Look-up'!$C:$C,MATCH($A66,'Smelter Look-up'!$E:$E,0)))</f>
        <v>Tongling Nonferrous Metals Group Co., Ltd.</v>
      </c>
      <c r="D66" s="278"/>
      <c r="E66" s="215" t="str">
        <f ca="1">IF(ISERROR($V66),"",OFFSET('Smelter Look-up'!$D$4,$V66-4,0)&amp;"")</f>
        <v>CHINA</v>
      </c>
      <c r="F66" s="215" t="str">
        <f ca="1">IF(ISERROR($V66),"",OFFSET('Smelter Look-up'!$E$4,$V66-4,0))</f>
        <v>CID001947</v>
      </c>
      <c r="G66" s="215" t="str">
        <f ca="1">IF(C66=$X$4,"Enter smelter details",IF(ISERROR($V66),"",OFFSET('Smelter Look-up'!$F$4,$V66-4,0)))</f>
        <v>RMI</v>
      </c>
      <c r="H66" s="216">
        <f ca="1">IF(ISERROR($V66),"",OFFSET('Smelter Look-up'!$G$4,$V66-4,0))</f>
        <v>0</v>
      </c>
      <c r="I66" s="217" t="str">
        <f ca="1">IF(ISERROR($V66),"",OFFSET('Smelter Look-up'!$H$4,$V66-4,0))</f>
        <v>Tongling</v>
      </c>
      <c r="J66" s="217" t="str">
        <f ca="1">IF(ISERROR($V66),"",OFFSET('Smelter Look-up'!$I$4,$V66-4,0))</f>
        <v>Anhui Sheng</v>
      </c>
      <c r="K66" s="268"/>
      <c r="L66" s="268"/>
      <c r="M66" s="268"/>
      <c r="N66" s="268"/>
      <c r="O66" s="268"/>
      <c r="P66" s="218"/>
      <c r="Q66" s="269"/>
      <c r="R66" s="215" t="str">
        <f ca="1">IF(ISERROR($V66),"",OFFSET('Smelter Look-up'!$C$4,$V66-4,0)&amp;"")</f>
        <v>Tongling Nonferrous Metals Group Co., Ltd.</v>
      </c>
      <c r="S66" s="222" t="str">
        <f t="shared" ca="1" si="6"/>
        <v>CN</v>
      </c>
      <c r="T66" s="222" t="str">
        <f ca="1">IF(B66="","",IF(ISERROR(MATCH($J66,SorP!$B$1:$B$6230,0)),"",INDIRECT("'SorP'!$A$"&amp;MATCH($J66,SorP!$B$1:$B$6230,0))))</f>
        <v>CN-AH</v>
      </c>
      <c r="U66" s="238"/>
      <c r="V66" s="270">
        <f ca="1">IF(C66="",NA(),MATCH($B66&amp;$C66,'Smelter Look-up'!$J:$J,0))</f>
        <v>277</v>
      </c>
      <c r="W66" s="271"/>
      <c r="X66" s="271">
        <f t="shared" ca="1" si="7"/>
        <v>0</v>
      </c>
      <c r="Y66" s="271"/>
      <c r="Z66" s="271"/>
      <c r="AB66" s="273" t="str">
        <f t="shared" ca="1" si="8"/>
        <v>GoldTongling Nonferrous Metals Group Co., Ltd.</v>
      </c>
    </row>
    <row r="67" spans="1:28" s="272" customFormat="1" ht="76.5">
      <c r="A67" s="355" t="s">
        <v>1389</v>
      </c>
      <c r="B67" s="215" t="str">
        <f ca="1">IF(LEN(A67)=0,"",INDEX('Smelter Look-up'!$A:$A,MATCH($A67,'Smelter Look-up'!$E:$E,0)))</f>
        <v>Gold</v>
      </c>
      <c r="C67" s="219" t="str">
        <f ca="1">IF(LEN(A67)=0,"",INDEX('Smelter Look-up'!$C:$C,MATCH($A67,'Smelter Look-up'!$E:$E,0)))</f>
        <v>KGHM Polska Miedz Spolka Akcyjna</v>
      </c>
      <c r="D67" s="278"/>
      <c r="E67" s="215" t="str">
        <f ca="1">IF(ISERROR($V67),"",OFFSET('Smelter Look-up'!$D$4,$V67-4,0)&amp;"")</f>
        <v>POLAND</v>
      </c>
      <c r="F67" s="215" t="str">
        <f ca="1">IF(ISERROR($V67),"",OFFSET('Smelter Look-up'!$E$4,$V67-4,0))</f>
        <v>CID002511</v>
      </c>
      <c r="G67" s="215" t="str">
        <f ca="1">IF(C67=$X$4,"Enter smelter details",IF(ISERROR($V67),"",OFFSET('Smelter Look-up'!$F$4,$V67-4,0)))</f>
        <v>RMI</v>
      </c>
      <c r="H67" s="216">
        <f ca="1">IF(ISERROR($V67),"",OFFSET('Smelter Look-up'!$G$4,$V67-4,0))</f>
        <v>0</v>
      </c>
      <c r="I67" s="217" t="str">
        <f ca="1">IF(ISERROR($V67),"",OFFSET('Smelter Look-up'!$H$4,$V67-4,0))</f>
        <v>Lubin</v>
      </c>
      <c r="J67" s="217" t="str">
        <f ca="1">IF(ISERROR($V67),"",OFFSET('Smelter Look-up'!$I$4,$V67-4,0))</f>
        <v>Dolnośląskie</v>
      </c>
      <c r="K67" s="268"/>
      <c r="L67" s="268"/>
      <c r="M67" s="268"/>
      <c r="N67" s="268"/>
      <c r="O67" s="268"/>
      <c r="P67" s="218"/>
      <c r="Q67" s="269"/>
      <c r="R67" s="215" t="str">
        <f ca="1">IF(ISERROR($V67),"",OFFSET('Smelter Look-up'!$C$4,$V67-4,0)&amp;"")</f>
        <v>KGHM Polska Miedz Spolka Akcyjna</v>
      </c>
      <c r="S67" s="222" t="str">
        <f t="shared" ca="1" si="6"/>
        <v>PL</v>
      </c>
      <c r="T67" s="222" t="str">
        <f ca="1">IF(B67="","",IF(ISERROR(MATCH($J67,SorP!$B$1:$B$6230,0)),"",INDIRECT("'SorP'!$A$"&amp;MATCH($J67,SorP!$B$1:$B$6230,0))))</f>
        <v>PL-02</v>
      </c>
      <c r="U67" s="238"/>
      <c r="V67" s="270">
        <f ca="1">IF(C67="",NA(),MATCH($B67&amp;$C67,'Smelter Look-up'!$J:$J,0))</f>
        <v>135</v>
      </c>
      <c r="W67" s="271"/>
      <c r="X67" s="271">
        <f t="shared" ca="1" si="7"/>
        <v>0</v>
      </c>
      <c r="Y67" s="271"/>
      <c r="Z67" s="271"/>
      <c r="AB67" s="273" t="str">
        <f t="shared" ca="1" si="8"/>
        <v>GoldKGHM Polska Miedz Spolka Akcyjna</v>
      </c>
    </row>
    <row r="68" spans="1:28" s="272" customFormat="1" ht="89.25">
      <c r="A68" s="214" t="s">
        <v>653</v>
      </c>
      <c r="B68" s="215" t="str">
        <f ca="1">IF(LEN(A68)=0,"",INDEX('Smelter Look-up'!$A:$A,MATCH($A68,'Smelter Look-up'!$E:$E,0)))</f>
        <v>Gold</v>
      </c>
      <c r="C68" s="219" t="str">
        <f ca="1">IF(LEN(A68)=0,"",INDEX('Smelter Look-up'!$C:$C,MATCH($A68,'Smelter Look-up'!$E:$E,0)))</f>
        <v>AngloGold Ashanti Corrego do Sitio Mineracao</v>
      </c>
      <c r="D68" s="278"/>
      <c r="E68" s="215" t="str">
        <f ca="1">IF(ISERROR($V68),"",OFFSET('Smelter Look-up'!$D$4,$V68-4,0)&amp;"")</f>
        <v>BRAZIL</v>
      </c>
      <c r="F68" s="215" t="str">
        <f ca="1">IF(ISERROR($V68),"",OFFSET('Smelter Look-up'!$E$4,$V68-4,0))</f>
        <v>CID000058</v>
      </c>
      <c r="G68" s="215" t="str">
        <f ca="1">IF(C68=$X$4,"Enter smelter details",IF(ISERROR($V68),"",OFFSET('Smelter Look-up'!$F$4,$V68-4,0)))</f>
        <v>RMI</v>
      </c>
      <c r="H68" s="216">
        <f ca="1">IF(ISERROR($V68),"",OFFSET('Smelter Look-up'!$G$4,$V68-4,0))</f>
        <v>0</v>
      </c>
      <c r="I68" s="217" t="str">
        <f ca="1">IF(ISERROR($V68),"",OFFSET('Smelter Look-up'!$H$4,$V68-4,0))</f>
        <v>Nova Lima</v>
      </c>
      <c r="J68" s="217" t="str">
        <f ca="1">IF(ISERROR($V68),"",OFFSET('Smelter Look-up'!$I$4,$V68-4,0))</f>
        <v>Minas Gerais</v>
      </c>
      <c r="K68" s="268"/>
      <c r="L68" s="268"/>
      <c r="M68" s="268"/>
      <c r="N68" s="268"/>
      <c r="O68" s="268"/>
      <c r="P68" s="218"/>
      <c r="Q68" s="269"/>
      <c r="R68" s="215" t="str">
        <f ca="1">IF(ISERROR($V68),"",OFFSET('Smelter Look-up'!$C$4,$V68-4,0)&amp;"")</f>
        <v>AngloGold Ashanti Corrego do Sitio Mineracao</v>
      </c>
      <c r="S68" s="222" t="str">
        <f t="shared" ref="S68" ca="1" si="9">IF(B68="","",IF(ISERROR(MATCH($E68,CL,0)),"Unknown",INDIRECT("'C'!$A$"&amp;MATCH($E68,CL,0)+1)))</f>
        <v>BR</v>
      </c>
      <c r="T68" s="222" t="str">
        <f ca="1">IF(B68="","",IF(ISERROR(MATCH($J68,SorP!$B$1:$B$6230,0)),"",INDIRECT("'SorP'!$A$"&amp;MATCH($J68,SorP!$B$1:$B$6230,0))))</f>
        <v>BR-MG</v>
      </c>
      <c r="U68" s="238"/>
      <c r="V68" s="270">
        <f ca="1">IF(C68="",NA(),MATCH($B68&amp;$C68,'Smelter Look-up'!$J:$J,0))</f>
        <v>20</v>
      </c>
      <c r="W68" s="271"/>
      <c r="X68" s="271">
        <f t="shared" ref="X68" ca="1" si="10">IF(AND(C68="Smelter not listed",OR(LEN(D68)=0,LEN(E68)=0)),1,0)</f>
        <v>0</v>
      </c>
      <c r="Y68" s="271"/>
      <c r="Z68" s="271"/>
      <c r="AB68" s="273" t="str">
        <f t="shared" ref="AB68" ca="1" si="11">B68&amp;C68</f>
        <v>GoldAngloGold Ashanti Corrego do Sitio Mineracao</v>
      </c>
    </row>
    <row r="69" spans="1:28" s="272" customFormat="1" ht="76.5">
      <c r="A69" s="355" t="s">
        <v>669</v>
      </c>
      <c r="B69" s="215" t="str">
        <f ca="1">IF(LEN(A69)=0,"",INDEX('Smelter Look-up'!$A:$A,MATCH($A69,'Smelter Look-up'!$E:$E,0)))</f>
        <v>Gold</v>
      </c>
      <c r="C69" s="219" t="str">
        <f ca="1">IF(LEN(A69)=0,"",INDEX('Smelter Look-up'!$C:$C,MATCH($A69,'Smelter Look-up'!$E:$E,0)))</f>
        <v>Daye Non-Ferrous Metals Mining Ltd.</v>
      </c>
      <c r="D69" s="278"/>
      <c r="E69" s="215" t="str">
        <f ca="1">IF(ISERROR($V69),"",OFFSET('Smelter Look-up'!$D$4,$V69-4,0)&amp;"")</f>
        <v>CHINA</v>
      </c>
      <c r="F69" s="215" t="str">
        <f ca="1">IF(ISERROR($V69),"",OFFSET('Smelter Look-up'!$E$4,$V69-4,0))</f>
        <v>CID000343</v>
      </c>
      <c r="G69" s="215" t="str">
        <f ca="1">IF(C69=$X$4,"Enter smelter details",IF(ISERROR($V69),"",OFFSET('Smelter Look-up'!$F$4,$V69-4,0)))</f>
        <v>RMI</v>
      </c>
      <c r="H69" s="216">
        <f ca="1">IF(ISERROR($V69),"",OFFSET('Smelter Look-up'!$G$4,$V69-4,0))</f>
        <v>0</v>
      </c>
      <c r="I69" s="217" t="str">
        <f ca="1">IF(ISERROR($V69),"",OFFSET('Smelter Look-up'!$H$4,$V69-4,0))</f>
        <v>Huangshi</v>
      </c>
      <c r="J69" s="217" t="str">
        <f ca="1">IF(ISERROR($V69),"",OFFSET('Smelter Look-up'!$I$4,$V69-4,0))</f>
        <v>Hubei Sheng</v>
      </c>
      <c r="K69" s="268"/>
      <c r="L69" s="268"/>
      <c r="M69" s="268"/>
      <c r="N69" s="268"/>
      <c r="O69" s="268"/>
      <c r="P69" s="218"/>
      <c r="Q69" s="269"/>
      <c r="R69" s="215" t="str">
        <f ca="1">IF(ISERROR($V69),"",OFFSET('Smelter Look-up'!$C$4,$V69-4,0)&amp;"")</f>
        <v>Daye Non-Ferrous Metals Mining Ltd.</v>
      </c>
      <c r="S69" s="222" t="str">
        <f t="shared" ref="S69:S100" ca="1" si="12">IF(B69="","",IF(ISERROR(MATCH($E69,CL,0)),"Unknown",INDIRECT("'C'!$A$"&amp;MATCH($E69,CL,0)+1)))</f>
        <v>CN</v>
      </c>
      <c r="T69" s="222" t="str">
        <f ca="1">IF(B69="","",IF(ISERROR(MATCH($J69,SorP!$B$1:$B$6230,0)),"",INDIRECT("'SorP'!$A$"&amp;MATCH($J69,SorP!$B$1:$B$6230,0))))</f>
        <v>CN-HB</v>
      </c>
      <c r="U69" s="238"/>
      <c r="V69" s="270">
        <f ca="1">IF(C69="",NA(),MATCH($B69&amp;$C69,'Smelter Look-up'!$J:$J,0))</f>
        <v>56</v>
      </c>
      <c r="W69" s="271"/>
      <c r="X69" s="271">
        <f t="shared" ref="X69:X100" ca="1" si="13">IF(AND(C69="Smelter not listed",OR(LEN(D69)=0,LEN(E69)=0)),1,0)</f>
        <v>0</v>
      </c>
      <c r="Y69" s="271"/>
      <c r="Z69" s="271"/>
      <c r="AB69" s="273" t="str">
        <f t="shared" ref="AB69:AB100" ca="1" si="14">B69&amp;C69</f>
        <v>GoldDaye Non-Ferrous Metals Mining Ltd.</v>
      </c>
    </row>
    <row r="70" spans="1:28" s="272" customFormat="1" ht="63.75">
      <c r="A70" s="355" t="s">
        <v>688</v>
      </c>
      <c r="B70" s="215" t="str">
        <f ca="1">IF(LEN(A70)=0,"",INDEX('Smelter Look-up'!$A:$A,MATCH($A70,'Smelter Look-up'!$E:$E,0)))</f>
        <v>Gold</v>
      </c>
      <c r="C70" s="219" t="str">
        <f ca="1">IF(LEN(A70)=0,"",INDEX('Smelter Look-up'!$C:$C,MATCH($A70,'Smelter Look-up'!$E:$E,0)))</f>
        <v>Asahi Refining USA Inc.</v>
      </c>
      <c r="D70" s="278"/>
      <c r="E70" s="215" t="str">
        <f ca="1">IF(ISERROR($V70),"",OFFSET('Smelter Look-up'!$D$4,$V70-4,0)&amp;"")</f>
        <v>UNITED STATES OF AMERICA</v>
      </c>
      <c r="F70" s="215" t="str">
        <f ca="1">IF(ISERROR($V70),"",OFFSET('Smelter Look-up'!$E$4,$V70-4,0))</f>
        <v>CID000920</v>
      </c>
      <c r="G70" s="215" t="str">
        <f ca="1">IF(C70=$X$4,"Enter smelter details",IF(ISERROR($V70),"",OFFSET('Smelter Look-up'!$F$4,$V70-4,0)))</f>
        <v>RMI</v>
      </c>
      <c r="H70" s="216">
        <f ca="1">IF(ISERROR($V70),"",OFFSET('Smelter Look-up'!$G$4,$V70-4,0))</f>
        <v>0</v>
      </c>
      <c r="I70" s="217" t="str">
        <f ca="1">IF(ISERROR($V70),"",OFFSET('Smelter Look-up'!$H$4,$V70-4,0))</f>
        <v>Salt Lake City</v>
      </c>
      <c r="J70" s="217" t="str">
        <f ca="1">IF(ISERROR($V70),"",OFFSET('Smelter Look-up'!$I$4,$V70-4,0))</f>
        <v>Utah</v>
      </c>
      <c r="K70" s="268"/>
      <c r="L70" s="268"/>
      <c r="M70" s="268"/>
      <c r="N70" s="268"/>
      <c r="O70" s="268"/>
      <c r="P70" s="218"/>
      <c r="Q70" s="269"/>
      <c r="R70" s="215" t="str">
        <f ca="1">IF(ISERROR($V70),"",OFFSET('Smelter Look-up'!$C$4,$V70-4,0)&amp;"")</f>
        <v>Asahi Refining USA Inc.</v>
      </c>
      <c r="S70" s="222" t="str">
        <f t="shared" ca="1" si="12"/>
        <v>US</v>
      </c>
      <c r="T70" s="222" t="str">
        <f ca="1">IF(B70="","",IF(ISERROR(MATCH($J70,SorP!$B$1:$B$6230,0)),"",INDIRECT("'SorP'!$A$"&amp;MATCH($J70,SorP!$B$1:$B$6230,0))))</f>
        <v>US-UT</v>
      </c>
      <c r="U70" s="238"/>
      <c r="V70" s="270">
        <f ca="1">IF(C70="",NA(),MATCH($B70&amp;$C70,'Smelter Look-up'!$J:$J,0))</f>
        <v>28</v>
      </c>
      <c r="W70" s="271"/>
      <c r="X70" s="271">
        <f t="shared" ca="1" si="13"/>
        <v>0</v>
      </c>
      <c r="Y70" s="271"/>
      <c r="Z70" s="271"/>
      <c r="AB70" s="273" t="str">
        <f t="shared" ca="1" si="14"/>
        <v>GoldAsahi Refining USA Inc.</v>
      </c>
    </row>
    <row r="71" spans="1:28" s="272" customFormat="1" ht="63.75">
      <c r="A71" s="355" t="s">
        <v>689</v>
      </c>
      <c r="B71" s="215" t="str">
        <f ca="1">IF(LEN(A71)=0,"",INDEX('Smelter Look-up'!$A:$A,MATCH($A71,'Smelter Look-up'!$E:$E,0)))</f>
        <v>Gold</v>
      </c>
      <c r="C71" s="219" t="str">
        <f ca="1">IF(LEN(A71)=0,"",INDEX('Smelter Look-up'!$C:$C,MATCH($A71,'Smelter Look-up'!$E:$E,0)))</f>
        <v>Asahi Refining Canada Ltd.</v>
      </c>
      <c r="D71" s="278"/>
      <c r="E71" s="215" t="str">
        <f ca="1">IF(ISERROR($V71),"",OFFSET('Smelter Look-up'!$D$4,$V71-4,0)&amp;"")</f>
        <v>CANADA</v>
      </c>
      <c r="F71" s="215" t="str">
        <f ca="1">IF(ISERROR($V71),"",OFFSET('Smelter Look-up'!$E$4,$V71-4,0))</f>
        <v>CID000924</v>
      </c>
      <c r="G71" s="215" t="str">
        <f ca="1">IF(C71=$X$4,"Enter smelter details",IF(ISERROR($V71),"",OFFSET('Smelter Look-up'!$F$4,$V71-4,0)))</f>
        <v>RMI</v>
      </c>
      <c r="H71" s="216">
        <f ca="1">IF(ISERROR($V71),"",OFFSET('Smelter Look-up'!$G$4,$V71-4,0))</f>
        <v>0</v>
      </c>
      <c r="I71" s="217" t="str">
        <f ca="1">IF(ISERROR($V71),"",OFFSET('Smelter Look-up'!$H$4,$V71-4,0))</f>
        <v>Brampton</v>
      </c>
      <c r="J71" s="217" t="str">
        <f ca="1">IF(ISERROR($V71),"",OFFSET('Smelter Look-up'!$I$4,$V71-4,0))</f>
        <v>Ontario</v>
      </c>
      <c r="K71" s="268"/>
      <c r="L71" s="268"/>
      <c r="M71" s="268"/>
      <c r="N71" s="268"/>
      <c r="O71" s="268"/>
      <c r="P71" s="218"/>
      <c r="Q71" s="269"/>
      <c r="R71" s="215" t="str">
        <f ca="1">IF(ISERROR($V71),"",OFFSET('Smelter Look-up'!$C$4,$V71-4,0)&amp;"")</f>
        <v>Asahi Refining Canada Ltd.</v>
      </c>
      <c r="S71" s="222" t="str">
        <f t="shared" ca="1" si="12"/>
        <v>CA</v>
      </c>
      <c r="T71" s="222" t="str">
        <f ca="1">IF(B71="","",IF(ISERROR(MATCH($J71,SorP!$B$1:$B$6230,0)),"",INDIRECT("'SorP'!$A$"&amp;MATCH($J71,SorP!$B$1:$B$6230,0))))</f>
        <v>CA-ON</v>
      </c>
      <c r="U71" s="238"/>
      <c r="V71" s="270">
        <f ca="1">IF(C71="",NA(),MATCH($B71&amp;$C71,'Smelter Look-up'!$J:$J,0))</f>
        <v>27</v>
      </c>
      <c r="W71" s="271"/>
      <c r="X71" s="271">
        <f t="shared" ca="1" si="13"/>
        <v>0</v>
      </c>
      <c r="Y71" s="271"/>
      <c r="Z71" s="271"/>
      <c r="AB71" s="273" t="str">
        <f t="shared" ca="1" si="14"/>
        <v>GoldAsahi Refining Canada Ltd.</v>
      </c>
    </row>
    <row r="72" spans="1:28" s="272" customFormat="1" ht="102">
      <c r="A72" s="355" t="s">
        <v>690</v>
      </c>
      <c r="B72" s="215" t="str">
        <f ca="1">IF(LEN(A72)=0,"",INDEX('Smelter Look-up'!$A:$A,MATCH($A72,'Smelter Look-up'!$E:$E,0)))</f>
        <v>Gold</v>
      </c>
      <c r="C72" s="219" t="str">
        <f ca="1">IF(LEN(A72)=0,"",INDEX('Smelter Look-up'!$C:$C,MATCH($A72,'Smelter Look-up'!$E:$E,0)))</f>
        <v>JSC Ekaterinburg Non-Ferrous Metal Processing Plant</v>
      </c>
      <c r="D72" s="278"/>
      <c r="E72" s="215" t="str">
        <f ca="1">IF(ISERROR($V72),"",OFFSET('Smelter Look-up'!$D$4,$V72-4,0)&amp;"")</f>
        <v>RUSSIAN FEDERATION</v>
      </c>
      <c r="F72" s="215" t="str">
        <f ca="1">IF(ISERROR($V72),"",OFFSET('Smelter Look-up'!$E$4,$V72-4,0))</f>
        <v>CID000927</v>
      </c>
      <c r="G72" s="215" t="str">
        <f ca="1">IF(C72=$X$4,"Enter smelter details",IF(ISERROR($V72),"",OFFSET('Smelter Look-up'!$F$4,$V72-4,0)))</f>
        <v>RMI</v>
      </c>
      <c r="H72" s="216">
        <f ca="1">IF(ISERROR($V72),"",OFFSET('Smelter Look-up'!$G$4,$V72-4,0))</f>
        <v>0</v>
      </c>
      <c r="I72" s="217" t="str">
        <f ca="1">IF(ISERROR($V72),"",OFFSET('Smelter Look-up'!$H$4,$V72-4,0))</f>
        <v>Verkhnyaya Pyshma</v>
      </c>
      <c r="J72" s="217" t="str">
        <f ca="1">IF(ISERROR($V72),"",OFFSET('Smelter Look-up'!$I$4,$V72-4,0))</f>
        <v>Sverdlovskaya oblast'</v>
      </c>
      <c r="K72" s="268"/>
      <c r="L72" s="268"/>
      <c r="M72" s="268"/>
      <c r="N72" s="268"/>
      <c r="O72" s="268"/>
      <c r="P72" s="218"/>
      <c r="Q72" s="269"/>
      <c r="R72" s="215" t="str">
        <f ca="1">IF(ISERROR($V72),"",OFFSET('Smelter Look-up'!$C$4,$V72-4,0)&amp;"")</f>
        <v>JSC Ekaterinburg Non-Ferrous Metal Processing Plant</v>
      </c>
      <c r="S72" s="222" t="str">
        <f t="shared" ca="1" si="12"/>
        <v>RU</v>
      </c>
      <c r="T72" s="222" t="str">
        <f ca="1">IF(B72="","",IF(ISERROR(MATCH($J72,SorP!$B$1:$B$6230,0)),"",INDIRECT("'SorP'!$A$"&amp;MATCH($J72,SorP!$B$1:$B$6230,0))))</f>
        <v>RU-SVE</v>
      </c>
      <c r="U72" s="238"/>
      <c r="V72" s="270">
        <f ca="1">IF(C72="",NA(),MATCH($B72&amp;$C72,'Smelter Look-up'!$J:$J,0))</f>
        <v>125</v>
      </c>
      <c r="W72" s="271"/>
      <c r="X72" s="271">
        <f t="shared" ca="1" si="13"/>
        <v>0</v>
      </c>
      <c r="Y72" s="271"/>
      <c r="Z72" s="271"/>
      <c r="AB72" s="273" t="str">
        <f t="shared" ca="1" si="14"/>
        <v>GoldJSC Ekaterinburg Non-Ferrous Metal Processing Plant</v>
      </c>
    </row>
    <row r="73" spans="1:28" s="272" customFormat="1" ht="25.5">
      <c r="A73" s="355" t="s">
        <v>718</v>
      </c>
      <c r="B73" s="215" t="str">
        <f ca="1">IF(LEN(A73)=0,"",INDEX('Smelter Look-up'!$A:$A,MATCH($A73,'Smelter Look-up'!$E:$E,0)))</f>
        <v>Gold</v>
      </c>
      <c r="C73" s="219" t="str">
        <f ca="1">IF(LEN(A73)=0,"",INDEX('Smelter Look-up'!$C:$C,MATCH($A73,'Smelter Look-up'!$E:$E,0)))</f>
        <v>PAMP S.A.</v>
      </c>
      <c r="D73" s="278"/>
      <c r="E73" s="215" t="str">
        <f ca="1">IF(ISERROR($V73),"",OFFSET('Smelter Look-up'!$D$4,$V73-4,0)&amp;"")</f>
        <v>SWITZERLAND</v>
      </c>
      <c r="F73" s="215" t="str">
        <f ca="1">IF(ISERROR($V73),"",OFFSET('Smelter Look-up'!$E$4,$V73-4,0))</f>
        <v>CID001352</v>
      </c>
      <c r="G73" s="215" t="str">
        <f ca="1">IF(C73=$X$4,"Enter smelter details",IF(ISERROR($V73),"",OFFSET('Smelter Look-up'!$F$4,$V73-4,0)))</f>
        <v>RMI</v>
      </c>
      <c r="H73" s="216">
        <f ca="1">IF(ISERROR($V73),"",OFFSET('Smelter Look-up'!$G$4,$V73-4,0))</f>
        <v>0</v>
      </c>
      <c r="I73" s="217" t="str">
        <f ca="1">IF(ISERROR($V73),"",OFFSET('Smelter Look-up'!$H$4,$V73-4,0))</f>
        <v>Castel San Pietro</v>
      </c>
      <c r="J73" s="217" t="str">
        <f ca="1">IF(ISERROR($V73),"",OFFSET('Smelter Look-up'!$I$4,$V73-4,0))</f>
        <v>Ticino</v>
      </c>
      <c r="K73" s="268"/>
      <c r="L73" s="268"/>
      <c r="M73" s="268"/>
      <c r="N73" s="268"/>
      <c r="O73" s="268"/>
      <c r="P73" s="218"/>
      <c r="Q73" s="269"/>
      <c r="R73" s="215" t="str">
        <f ca="1">IF(ISERROR($V73),"",OFFSET('Smelter Look-up'!$C$4,$V73-4,0)&amp;"")</f>
        <v>PAMP S.A.</v>
      </c>
      <c r="S73" s="222" t="str">
        <f t="shared" ca="1" si="12"/>
        <v>CH</v>
      </c>
      <c r="T73" s="222" t="str">
        <f ca="1">IF(B73="","",IF(ISERROR(MATCH($J73,SorP!$B$1:$B$6230,0)),"",INDIRECT("'SorP'!$A$"&amp;MATCH($J73,SorP!$B$1:$B$6230,0))))</f>
        <v>CH-TI</v>
      </c>
      <c r="U73" s="238"/>
      <c r="V73" s="270">
        <f ca="1">IF(C73="",NA(),MATCH($B73&amp;$C73,'Smelter Look-up'!$J:$J,0))</f>
        <v>197</v>
      </c>
      <c r="W73" s="271"/>
      <c r="X73" s="271">
        <f t="shared" ca="1" si="13"/>
        <v>0</v>
      </c>
      <c r="Y73" s="271"/>
      <c r="Z73" s="271"/>
      <c r="AB73" s="273" t="str">
        <f t="shared" ca="1" si="14"/>
        <v>GoldPAMP S.A.</v>
      </c>
    </row>
    <row r="74" spans="1:28" s="272" customFormat="1" ht="76.5">
      <c r="A74" s="355" t="s">
        <v>739</v>
      </c>
      <c r="B74" s="215" t="str">
        <f ca="1">IF(LEN(A74)=0,"",INDEX('Smelter Look-up'!$A:$A,MATCH($A74,'Smelter Look-up'!$E:$E,0)))</f>
        <v>Gold</v>
      </c>
      <c r="C74" s="219" t="str">
        <f ca="1">IF(LEN(A74)=0,"",INDEX('Smelter Look-up'!$C:$C,MATCH($A74,'Smelter Look-up'!$E:$E,0)))</f>
        <v>United Precious Metal Refining, Inc.</v>
      </c>
      <c r="D74" s="278"/>
      <c r="E74" s="215" t="str">
        <f ca="1">IF(ISERROR($V74),"",OFFSET('Smelter Look-up'!$D$4,$V74-4,0)&amp;"")</f>
        <v>UNITED STATES OF AMERICA</v>
      </c>
      <c r="F74" s="215" t="str">
        <f ca="1">IF(ISERROR($V74),"",OFFSET('Smelter Look-up'!$E$4,$V74-4,0))</f>
        <v>CID001993</v>
      </c>
      <c r="G74" s="215" t="str">
        <f ca="1">IF(C74=$X$4,"Enter smelter details",IF(ISERROR($V74),"",OFFSET('Smelter Look-up'!$F$4,$V74-4,0)))</f>
        <v>RMI</v>
      </c>
      <c r="H74" s="216">
        <f ca="1">IF(ISERROR($V74),"",OFFSET('Smelter Look-up'!$G$4,$V74-4,0))</f>
        <v>0</v>
      </c>
      <c r="I74" s="217" t="str">
        <f ca="1">IF(ISERROR($V74),"",OFFSET('Smelter Look-up'!$H$4,$V74-4,0))</f>
        <v>Alden</v>
      </c>
      <c r="J74" s="217" t="str">
        <f ca="1">IF(ISERROR($V74),"",OFFSET('Smelter Look-up'!$I$4,$V74-4,0))</f>
        <v>New York</v>
      </c>
      <c r="K74" s="268"/>
      <c r="L74" s="268"/>
      <c r="M74" s="268"/>
      <c r="N74" s="268"/>
      <c r="O74" s="268"/>
      <c r="P74" s="218"/>
      <c r="Q74" s="269"/>
      <c r="R74" s="215" t="str">
        <f ca="1">IF(ISERROR($V74),"",OFFSET('Smelter Look-up'!$C$4,$V74-4,0)&amp;"")</f>
        <v>United Precious Metal Refining, Inc.</v>
      </c>
      <c r="S74" s="222" t="str">
        <f t="shared" ca="1" si="12"/>
        <v>US</v>
      </c>
      <c r="T74" s="222" t="str">
        <f ca="1">IF(B74="","",IF(ISERROR(MATCH($J74,SorP!$B$1:$B$6230,0)),"",INDIRECT("'SorP'!$A$"&amp;MATCH($J74,SorP!$B$1:$B$6230,0))))</f>
        <v>US-NY</v>
      </c>
      <c r="U74" s="238"/>
      <c r="V74" s="270">
        <f ca="1">IF(C74="",NA(),MATCH($B74&amp;$C74,'Smelter Look-up'!$J:$J,0))</f>
        <v>287</v>
      </c>
      <c r="W74" s="271"/>
      <c r="X74" s="271">
        <f t="shared" ca="1" si="13"/>
        <v>0</v>
      </c>
      <c r="Y74" s="271"/>
      <c r="Z74" s="271"/>
      <c r="AB74" s="273" t="str">
        <f t="shared" ca="1" si="14"/>
        <v>GoldUnited Precious Metal Refining, Inc.</v>
      </c>
    </row>
    <row r="75" spans="1:28" s="272" customFormat="1" ht="102">
      <c r="A75" s="355" t="s">
        <v>738</v>
      </c>
      <c r="B75" s="215" t="str">
        <f ca="1">IF(LEN(A75)=0,"",INDEX('Smelter Look-up'!$A:$A,MATCH($A75,'Smelter Look-up'!$E:$E,0)))</f>
        <v>Gold</v>
      </c>
      <c r="C75" s="219" t="str">
        <f ca="1">IF(LEN(A75)=0,"",INDEX('Smelter Look-up'!$C:$C,MATCH($A75,'Smelter Look-up'!$E:$E,0)))</f>
        <v>Umicore S.A. Business Unit Precious Metals Refining</v>
      </c>
      <c r="D75" s="278"/>
      <c r="E75" s="215" t="str">
        <f ca="1">IF(ISERROR($V75),"",OFFSET('Smelter Look-up'!$D$4,$V75-4,0)&amp;"")</f>
        <v>BELGIUM</v>
      </c>
      <c r="F75" s="215" t="str">
        <f ca="1">IF(ISERROR($V75),"",OFFSET('Smelter Look-up'!$E$4,$V75-4,0))</f>
        <v>CID001980</v>
      </c>
      <c r="G75" s="215" t="str">
        <f ca="1">IF(C75=$X$4,"Enter smelter details",IF(ISERROR($V75),"",OFFSET('Smelter Look-up'!$F$4,$V75-4,0)))</f>
        <v>RMI</v>
      </c>
      <c r="H75" s="216">
        <f ca="1">IF(ISERROR($V75),"",OFFSET('Smelter Look-up'!$G$4,$V75-4,0))</f>
        <v>0</v>
      </c>
      <c r="I75" s="217" t="str">
        <f ca="1">IF(ISERROR($V75),"",OFFSET('Smelter Look-up'!$H$4,$V75-4,0))</f>
        <v>Hoboken</v>
      </c>
      <c r="J75" s="217" t="str">
        <f ca="1">IF(ISERROR($V75),"",OFFSET('Smelter Look-up'!$I$4,$V75-4,0))</f>
        <v>Antwerpen</v>
      </c>
      <c r="K75" s="268"/>
      <c r="L75" s="268"/>
      <c r="M75" s="268"/>
      <c r="N75" s="268"/>
      <c r="O75" s="268"/>
      <c r="P75" s="218"/>
      <c r="Q75" s="269"/>
      <c r="R75" s="215" t="str">
        <f ca="1">IF(ISERROR($V75),"",OFFSET('Smelter Look-up'!$C$4,$V75-4,0)&amp;"")</f>
        <v>Umicore S.A. Business Unit Precious Metals Refining</v>
      </c>
      <c r="S75" s="222" t="str">
        <f t="shared" ca="1" si="12"/>
        <v>BE</v>
      </c>
      <c r="T75" s="222" t="str">
        <f ca="1">IF(B75="","",IF(ISERROR(MATCH($J75,SorP!$B$1:$B$6230,0)),"",INDIRECT("'SorP'!$A$"&amp;MATCH($J75,SorP!$B$1:$B$6230,0))))</f>
        <v>BE-VAN</v>
      </c>
      <c r="U75" s="238"/>
      <c r="V75" s="270">
        <f ca="1">IF(C75="",NA(),MATCH($B75&amp;$C75,'Smelter Look-up'!$J:$J,0))</f>
        <v>286</v>
      </c>
      <c r="W75" s="271"/>
      <c r="X75" s="271">
        <f t="shared" ca="1" si="13"/>
        <v>0</v>
      </c>
      <c r="Y75" s="271"/>
      <c r="Z75" s="271"/>
      <c r="AB75" s="273" t="str">
        <f t="shared" ca="1" si="14"/>
        <v>GoldUmicore S.A. Business Unit Precious Metals Refining</v>
      </c>
    </row>
    <row r="76" spans="1:28" s="272" customFormat="1" ht="20.25" customHeight="1">
      <c r="A76" s="355" t="s">
        <v>15628</v>
      </c>
      <c r="B76" s="215" t="s">
        <v>1131</v>
      </c>
      <c r="C76" s="358" t="s">
        <v>15663</v>
      </c>
      <c r="D76" s="278"/>
      <c r="E76" s="215" t="s">
        <v>15664</v>
      </c>
      <c r="F76" s="215" t="s">
        <v>15628</v>
      </c>
      <c r="G76" s="215" t="s">
        <v>13459</v>
      </c>
      <c r="H76" s="363" t="s">
        <v>15665</v>
      </c>
      <c r="I76" s="363" t="s">
        <v>15666</v>
      </c>
      <c r="J76" s="363" t="s">
        <v>15666</v>
      </c>
      <c r="K76" s="364" t="s">
        <v>15667</v>
      </c>
      <c r="L76" s="364" t="s">
        <v>15668</v>
      </c>
      <c r="M76" s="268"/>
      <c r="N76" s="268"/>
      <c r="O76" s="268"/>
      <c r="P76" s="218"/>
      <c r="Q76" s="269"/>
      <c r="R76" s="215" t="str">
        <f ca="1">IF(ISERROR($V76),"",OFFSET('Smelter Look-up'!$C$4,$V76-4,0)&amp;"")</f>
        <v/>
      </c>
      <c r="S76" s="222" t="str">
        <f t="shared" ca="1" si="12"/>
        <v>ID</v>
      </c>
      <c r="T76" s="222" t="str">
        <f ca="1">IF(B76="","",IF(ISERROR(MATCH($J76,SorP!$B$1:$B$6230,0)),"",INDIRECT("'SorP'!$A$"&amp;MATCH($J76,SorP!$B$1:$B$6230,0))))</f>
        <v/>
      </c>
      <c r="U76" s="238"/>
      <c r="V76" s="270" t="e">
        <f>IF(C76="",NA(),MATCH($B76&amp;$C76,'Smelter Look-up'!$J:$J,0))</f>
        <v>#N/A</v>
      </c>
      <c r="W76" s="271"/>
      <c r="X76" s="271">
        <f t="shared" si="13"/>
        <v>0</v>
      </c>
      <c r="Y76" s="271"/>
      <c r="Z76" s="271"/>
      <c r="AB76" s="273" t="str">
        <f t="shared" si="14"/>
        <v>TinPT Sukses Inti Makmur</v>
      </c>
    </row>
    <row r="77" spans="1:28" s="272" customFormat="1" ht="63.75">
      <c r="A77" s="355" t="s">
        <v>1394</v>
      </c>
      <c r="B77" s="215" t="str">
        <f ca="1">IF(LEN(A77)=0,"",INDEX('Smelter Look-up'!$A:$A,MATCH($A77,'Smelter Look-up'!$E:$E,0)))</f>
        <v>Gold</v>
      </c>
      <c r="C77" s="219" t="str">
        <f ca="1">IF(LEN(A77)=0,"",INDEX('Smelter Look-up'!$C:$C,MATCH($A77,'Smelter Look-up'!$E:$E,0)))</f>
        <v>Singway Technology Co., Ltd.</v>
      </c>
      <c r="D77" s="278"/>
      <c r="E77" s="215" t="str">
        <f ca="1">IF(ISERROR($V77),"",OFFSET('Smelter Look-up'!$D$4,$V77-4,0)&amp;"")</f>
        <v>TAIWAN, PROVINCE OF CHINA</v>
      </c>
      <c r="F77" s="215" t="str">
        <f ca="1">IF(ISERROR($V77),"",OFFSET('Smelter Look-up'!$E$4,$V77-4,0))</f>
        <v>CID002516</v>
      </c>
      <c r="G77" s="215" t="str">
        <f ca="1">IF(C77=$X$4,"Enter smelter details",IF(ISERROR($V77),"",OFFSET('Smelter Look-up'!$F$4,$V77-4,0)))</f>
        <v>RMI</v>
      </c>
      <c r="H77" s="216">
        <f ca="1">IF(ISERROR($V77),"",OFFSET('Smelter Look-up'!$G$4,$V77-4,0))</f>
        <v>0</v>
      </c>
      <c r="I77" s="217" t="str">
        <f ca="1">IF(ISERROR($V77),"",OFFSET('Smelter Look-up'!$H$4,$V77-4,0))</f>
        <v>Dayuan</v>
      </c>
      <c r="J77" s="217" t="str">
        <f ca="1">IF(ISERROR($V77),"",OFFSET('Smelter Look-up'!$I$4,$V77-4,0))</f>
        <v>Taoyuan</v>
      </c>
      <c r="K77" s="268"/>
      <c r="L77" s="268"/>
      <c r="M77" s="268"/>
      <c r="N77" s="268"/>
      <c r="O77" s="268"/>
      <c r="P77" s="218"/>
      <c r="Q77" s="269"/>
      <c r="R77" s="215" t="str">
        <f ca="1">IF(ISERROR($V77),"",OFFSET('Smelter Look-up'!$C$4,$V77-4,0)&amp;"")</f>
        <v>Singway Technology Co., Ltd.</v>
      </c>
      <c r="S77" s="222" t="str">
        <f t="shared" ca="1" si="12"/>
        <v>TW</v>
      </c>
      <c r="T77" s="222" t="str">
        <f ca="1">IF(B77="","",IF(ISERROR(MATCH($J77,SorP!$B$1:$B$6230,0)),"",INDIRECT("'SorP'!$A$"&amp;MATCH($J77,SorP!$B$1:$B$6230,0))))</f>
        <v>TW-TAO</v>
      </c>
      <c r="U77" s="238"/>
      <c r="V77" s="270">
        <f ca="1">IF(C77="",NA(),MATCH($B77&amp;$C77,'Smelter Look-up'!$J:$J,0))</f>
        <v>249</v>
      </c>
      <c r="W77" s="271"/>
      <c r="X77" s="271">
        <f t="shared" ca="1" si="13"/>
        <v>0</v>
      </c>
      <c r="Y77" s="271"/>
      <c r="Z77" s="271"/>
      <c r="AB77" s="273" t="str">
        <f t="shared" ca="1" si="14"/>
        <v>GoldSingway Technology Co., Ltd.</v>
      </c>
    </row>
    <row r="78" spans="1:28" s="272" customFormat="1" ht="76.5">
      <c r="A78" s="355" t="s">
        <v>1387</v>
      </c>
      <c r="B78" s="215" t="str">
        <f ca="1">IF(LEN(A78)=0,"",INDEX('Smelter Look-up'!$A:$A,MATCH($A78,'Smelter Look-up'!$E:$E,0)))</f>
        <v>Gold</v>
      </c>
      <c r="C78" s="219" t="str">
        <f ca="1">IF(LEN(A78)=0,"",INDEX('Smelter Look-up'!$C:$C,MATCH($A78,'Smelter Look-up'!$E:$E,0)))</f>
        <v>Fidelity Printers and Refiners Ltd.</v>
      </c>
      <c r="D78" s="278"/>
      <c r="E78" s="215" t="str">
        <f ca="1">IF(ISERROR($V78),"",OFFSET('Smelter Look-up'!$D$4,$V78-4,0)&amp;"")</f>
        <v>ZIMBABWE</v>
      </c>
      <c r="F78" s="215" t="str">
        <f ca="1">IF(ISERROR($V78),"",OFFSET('Smelter Look-up'!$E$4,$V78-4,0))</f>
        <v>CID002515</v>
      </c>
      <c r="G78" s="215" t="str">
        <f ca="1">IF(C78=$X$4,"Enter smelter details",IF(ISERROR($V78),"",OFFSET('Smelter Look-up'!$F$4,$V78-4,0)))</f>
        <v>RMI</v>
      </c>
      <c r="H78" s="216">
        <f ca="1">IF(ISERROR($V78),"",OFFSET('Smelter Look-up'!$G$4,$V78-4,0))</f>
        <v>0</v>
      </c>
      <c r="I78" s="217" t="str">
        <f ca="1">IF(ISERROR($V78),"",OFFSET('Smelter Look-up'!$H$4,$V78-4,0))</f>
        <v>Msasa</v>
      </c>
      <c r="J78" s="217" t="str">
        <f ca="1">IF(ISERROR($V78),"",OFFSET('Smelter Look-up'!$I$4,$V78-4,0))</f>
        <v>Harare</v>
      </c>
      <c r="K78" s="268"/>
      <c r="L78" s="268"/>
      <c r="M78" s="268"/>
      <c r="N78" s="268"/>
      <c r="O78" s="268"/>
      <c r="P78" s="218"/>
      <c r="Q78" s="269"/>
      <c r="R78" s="215" t="str">
        <f ca="1">IF(ISERROR($V78),"",OFFSET('Smelter Look-up'!$C$4,$V78-4,0)&amp;"")</f>
        <v>Fidelity Printers and Refiners Ltd.</v>
      </c>
      <c r="S78" s="222" t="str">
        <f t="shared" ca="1" si="12"/>
        <v>ZW</v>
      </c>
      <c r="T78" s="222" t="str">
        <f ca="1">IF(B78="","",IF(ISERROR(MATCH($J78,SorP!$B$1:$B$6230,0)),"",INDIRECT("'SorP'!$A$"&amp;MATCH($J78,SorP!$B$1:$B$6230,0))))</f>
        <v>ZW-HA</v>
      </c>
      <c r="U78" s="238"/>
      <c r="V78" s="270">
        <f ca="1">IF(C78="",NA(),MATCH($B78&amp;$C78,'Smelter Look-up'!$J:$J,0))</f>
        <v>80</v>
      </c>
      <c r="W78" s="271"/>
      <c r="X78" s="271">
        <f t="shared" ca="1" si="13"/>
        <v>0</v>
      </c>
      <c r="Y78" s="271"/>
      <c r="Z78" s="271"/>
      <c r="AB78" s="273" t="str">
        <f t="shared" ca="1" si="14"/>
        <v>GoldFidelity Printers and Refiners Ltd.</v>
      </c>
    </row>
    <row r="79" spans="1:28" s="272" customFormat="1" ht="76.5">
      <c r="A79" s="355" t="s">
        <v>14018</v>
      </c>
      <c r="B79" s="215" t="str">
        <f ca="1">IF(LEN(A79)=0,"",INDEX('Smelter Look-up'!$A:$A,MATCH($A79,'Smelter Look-up'!$E:$E,0)))</f>
        <v>Gold</v>
      </c>
      <c r="C79" s="219" t="str">
        <f ca="1">IF(LEN(A79)=0,"",INDEX('Smelter Look-up'!$C:$C,MATCH($A79,'Smelter Look-up'!$E:$E,0)))</f>
        <v>Shandong Humon Smelting Co., Ltd.</v>
      </c>
      <c r="D79" s="278"/>
      <c r="E79" s="215" t="str">
        <f ca="1">IF(ISERROR($V79),"",OFFSET('Smelter Look-up'!$D$4,$V79-4,0)&amp;"")</f>
        <v>CHINA</v>
      </c>
      <c r="F79" s="215" t="str">
        <f ca="1">IF(ISERROR($V79),"",OFFSET('Smelter Look-up'!$E$4,$V79-4,0))</f>
        <v>CID002525</v>
      </c>
      <c r="G79" s="215" t="str">
        <f ca="1">IF(C79=$X$4,"Enter smelter details",IF(ISERROR($V79),"",OFFSET('Smelter Look-up'!$F$4,$V79-4,0)))</f>
        <v>RMI</v>
      </c>
      <c r="H79" s="216">
        <f ca="1">IF(ISERROR($V79),"",OFFSET('Smelter Look-up'!$G$4,$V79-4,0))</f>
        <v>0</v>
      </c>
      <c r="I79" s="217" t="str">
        <f ca="1">IF(ISERROR($V79),"",OFFSET('Smelter Look-up'!$H$4,$V79-4,0))</f>
        <v>Laizhou</v>
      </c>
      <c r="J79" s="217" t="str">
        <f ca="1">IF(ISERROR($V79),"",OFFSET('Smelter Look-up'!$I$4,$V79-4,0))</f>
        <v>Shandong Sheng</v>
      </c>
      <c r="K79" s="268"/>
      <c r="L79" s="268"/>
      <c r="M79" s="268"/>
      <c r="N79" s="268"/>
      <c r="O79" s="268"/>
      <c r="P79" s="218"/>
      <c r="Q79" s="269"/>
      <c r="R79" s="215" t="str">
        <f ca="1">IF(ISERROR($V79),"",OFFSET('Smelter Look-up'!$C$4,$V79-4,0)&amp;"")</f>
        <v>Shandong Humon Smelting Co., Ltd.</v>
      </c>
      <c r="S79" s="222" t="str">
        <f t="shared" ca="1" si="12"/>
        <v>CN</v>
      </c>
      <c r="T79" s="222" t="str">
        <f ca="1">IF(B79="","",IF(ISERROR(MATCH($J79,SorP!$B$1:$B$6230,0)),"",INDIRECT("'SorP'!$A$"&amp;MATCH($J79,SorP!$B$1:$B$6230,0))))</f>
        <v>CN-SD</v>
      </c>
      <c r="U79" s="238"/>
      <c r="V79" s="270">
        <f ca="1">IF(C79="",NA(),MATCH($B79&amp;$C79,'Smelter Look-up'!$J:$J,0))</f>
        <v>237</v>
      </c>
      <c r="W79" s="271"/>
      <c r="X79" s="271">
        <f t="shared" ca="1" si="13"/>
        <v>0</v>
      </c>
      <c r="Y79" s="271"/>
      <c r="Z79" s="271"/>
      <c r="AB79" s="273" t="str">
        <f t="shared" ca="1" si="14"/>
        <v>GoldShandong Humon Smelting Co., Ltd.</v>
      </c>
    </row>
    <row r="80" spans="1:28" s="272" customFormat="1" ht="102">
      <c r="A80" s="355" t="s">
        <v>15353</v>
      </c>
      <c r="B80" s="215" t="str">
        <f ca="1">IF(LEN(A80)=0,"",INDEX('Smelter Look-up'!$A:$A,MATCH($A80,'Smelter Look-up'!$E:$E,0)))</f>
        <v>Gold</v>
      </c>
      <c r="C80" s="219" t="str">
        <f ca="1">IF(LEN(A80)=0,"",INDEX('Smelter Look-up'!$C:$C,MATCH($A80,'Smelter Look-up'!$E:$E,0)))</f>
        <v>Shenzhen Zhonghenglong Real Industry Co., Ltd.</v>
      </c>
      <c r="D80" s="278"/>
      <c r="E80" s="215" t="str">
        <f ca="1">IF(ISERROR($V80),"",OFFSET('Smelter Look-up'!$D$4,$V80-4,0)&amp;"")</f>
        <v>CHINA</v>
      </c>
      <c r="F80" s="215" t="str">
        <f ca="1">IF(ISERROR($V80),"",OFFSET('Smelter Look-up'!$E$4,$V80-4,0))</f>
        <v>CID002527</v>
      </c>
      <c r="G80" s="215" t="str">
        <f ca="1">IF(C80=$X$4,"Enter smelter details",IF(ISERROR($V80),"",OFFSET('Smelter Look-up'!$F$4,$V80-4,0)))</f>
        <v>RMI</v>
      </c>
      <c r="H80" s="216">
        <f ca="1">IF(ISERROR($V80),"",OFFSET('Smelter Look-up'!$G$4,$V80-4,0))</f>
        <v>0</v>
      </c>
      <c r="I80" s="217" t="str">
        <f ca="1">IF(ISERROR($V80),"",OFFSET('Smelter Look-up'!$H$4,$V80-4,0))</f>
        <v>Shenzhen</v>
      </c>
      <c r="J80" s="217" t="str">
        <f ca="1">IF(ISERROR($V80),"",OFFSET('Smelter Look-up'!$I$4,$V80-4,0))</f>
        <v>Guangdong</v>
      </c>
      <c r="K80" s="268"/>
      <c r="L80" s="268"/>
      <c r="M80" s="268"/>
      <c r="N80" s="268"/>
      <c r="O80" s="268"/>
      <c r="P80" s="218"/>
      <c r="Q80" s="269"/>
      <c r="R80" s="215" t="str">
        <f ca="1">IF(ISERROR($V80),"",OFFSET('Smelter Look-up'!$C$4,$V80-4,0)&amp;"")</f>
        <v>Shenzhen Zhonghenglong Real Industry Co., Ltd.</v>
      </c>
      <c r="S80" s="222" t="str">
        <f t="shared" ca="1" si="12"/>
        <v>CN</v>
      </c>
      <c r="T80" s="222" t="str">
        <f ca="1">IF(B80="","",IF(ISERROR(MATCH($J80,SorP!$B$1:$B$6230,0)),"",INDIRECT("'SorP'!$A$"&amp;MATCH($J80,SorP!$B$1:$B$6230,0))))</f>
        <v/>
      </c>
      <c r="U80" s="238"/>
      <c r="V80" s="270">
        <f ca="1">IF(C80="",NA(),MATCH($B80&amp;$C80,'Smelter Look-up'!$J:$J,0))</f>
        <v>243</v>
      </c>
      <c r="W80" s="271"/>
      <c r="X80" s="271">
        <f t="shared" ca="1" si="13"/>
        <v>0</v>
      </c>
      <c r="Y80" s="271"/>
      <c r="Z80" s="271"/>
      <c r="AB80" s="273" t="str">
        <f t="shared" ca="1" si="14"/>
        <v>GoldShenzhen Zhonghenglong Real Industry Co., Ltd.</v>
      </c>
    </row>
    <row r="81" spans="1:28" s="272" customFormat="1" ht="51">
      <c r="A81" s="355" t="s">
        <v>13132</v>
      </c>
      <c r="B81" s="215" t="str">
        <f ca="1">IF(LEN(A81)=0,"",INDEX('Smelter Look-up'!$A:$A,MATCH($A81,'Smelter Look-up'!$E:$E,0)))</f>
        <v>Gold</v>
      </c>
      <c r="C81" s="219" t="str">
        <f ca="1">IF(LEN(A81)=0,"",INDEX('Smelter Look-up'!$C:$C,MATCH($A81,'Smelter Look-up'!$E:$E,0)))</f>
        <v>African Gold Refinery</v>
      </c>
      <c r="D81" s="278"/>
      <c r="E81" s="215" t="str">
        <f ca="1">IF(ISERROR($V81),"",OFFSET('Smelter Look-up'!$D$4,$V81-4,0)&amp;"")</f>
        <v>UGANDA</v>
      </c>
      <c r="F81" s="215" t="str">
        <f ca="1">IF(ISERROR($V81),"",OFFSET('Smelter Look-up'!$E$4,$V81-4,0))</f>
        <v>CID003185</v>
      </c>
      <c r="G81" s="215" t="str">
        <f ca="1">IF(C81=$X$4,"Enter smelter details",IF(ISERROR($V81),"",OFFSET('Smelter Look-up'!$F$4,$V81-4,0)))</f>
        <v>RMI</v>
      </c>
      <c r="H81" s="216">
        <f ca="1">IF(ISERROR($V81),"",OFFSET('Smelter Look-up'!$G$4,$V81-4,0))</f>
        <v>0</v>
      </c>
      <c r="I81" s="217" t="str">
        <f ca="1">IF(ISERROR($V81),"",OFFSET('Smelter Look-up'!$H$4,$V81-4,0))</f>
        <v>Entebbe</v>
      </c>
      <c r="J81" s="217" t="str">
        <f ca="1">IF(ISERROR($V81),"",OFFSET('Smelter Look-up'!$I$4,$V81-4,0))</f>
        <v>Wakiso</v>
      </c>
      <c r="K81" s="268"/>
      <c r="L81" s="268"/>
      <c r="M81" s="268"/>
      <c r="N81" s="268"/>
      <c r="O81" s="268"/>
      <c r="P81" s="218"/>
      <c r="Q81" s="269"/>
      <c r="R81" s="215" t="str">
        <f ca="1">IF(ISERROR($V81),"",OFFSET('Smelter Look-up'!$C$4,$V81-4,0)&amp;"")</f>
        <v>African Gold Refinery</v>
      </c>
      <c r="S81" s="222" t="str">
        <f t="shared" ca="1" si="12"/>
        <v>UG</v>
      </c>
      <c r="T81" s="222" t="str">
        <f ca="1">IF(B81="","",IF(ISERROR(MATCH($J81,SorP!$B$1:$B$6230,0)),"",INDIRECT("'SorP'!$A$"&amp;MATCH($J81,SorP!$B$1:$B$6230,0))))</f>
        <v>UG-113</v>
      </c>
      <c r="U81" s="238"/>
      <c r="V81" s="270">
        <f ca="1">IF(C81="",NA(),MATCH($B81&amp;$C81,'Smelter Look-up'!$J:$J,0))</f>
        <v>8</v>
      </c>
      <c r="W81" s="271"/>
      <c r="X81" s="271">
        <f t="shared" ca="1" si="13"/>
        <v>0</v>
      </c>
      <c r="Y81" s="271"/>
      <c r="Z81" s="271"/>
      <c r="AB81" s="273" t="str">
        <f t="shared" ca="1" si="14"/>
        <v>GoldAfrican Gold Refinery</v>
      </c>
    </row>
    <row r="82" spans="1:28" s="272" customFormat="1" ht="38.25">
      <c r="A82" s="355" t="s">
        <v>14104</v>
      </c>
      <c r="B82" s="215" t="str">
        <f ca="1">IF(LEN(A82)=0,"",INDEX('Smelter Look-up'!$A:$A,MATCH($A82,'Smelter Look-up'!$E:$E,0)))</f>
        <v>Gold</v>
      </c>
      <c r="C82" s="219" t="str">
        <f ca="1">IF(LEN(A82)=0,"",INDEX('Smelter Look-up'!$C:$C,MATCH($A82,'Smelter Look-up'!$E:$E,0)))</f>
        <v>Gold Coast Refinery</v>
      </c>
      <c r="D82" s="278"/>
      <c r="E82" s="215" t="str">
        <f ca="1">IF(ISERROR($V82),"",OFFSET('Smelter Look-up'!$D$4,$V82-4,0)&amp;"")</f>
        <v>GHANA</v>
      </c>
      <c r="F82" s="215" t="str">
        <f ca="1">IF(ISERROR($V82),"",OFFSET('Smelter Look-up'!$E$4,$V82-4,0))</f>
        <v>CID003186</v>
      </c>
      <c r="G82" s="215" t="str">
        <f ca="1">IF(C82=$X$4,"Enter smelter details",IF(ISERROR($V82),"",OFFSET('Smelter Look-up'!$F$4,$V82-4,0)))</f>
        <v>RMI</v>
      </c>
      <c r="H82" s="216">
        <f ca="1">IF(ISERROR($V82),"",OFFSET('Smelter Look-up'!$G$4,$V82-4,0))</f>
        <v>0</v>
      </c>
      <c r="I82" s="217" t="str">
        <f ca="1">IF(ISERROR($V82),"",OFFSET('Smelter Look-up'!$H$4,$V82-4,0))</f>
        <v>Accra</v>
      </c>
      <c r="J82" s="217" t="str">
        <f ca="1">IF(ISERROR($V82),"",OFFSET('Smelter Look-up'!$I$4,$V82-4,0))</f>
        <v>Accra</v>
      </c>
      <c r="K82" s="268"/>
      <c r="L82" s="268"/>
      <c r="M82" s="268"/>
      <c r="N82" s="268"/>
      <c r="O82" s="268"/>
      <c r="P82" s="218"/>
      <c r="Q82" s="269"/>
      <c r="R82" s="215" t="str">
        <f ca="1">IF(ISERROR($V82),"",OFFSET('Smelter Look-up'!$C$4,$V82-4,0)&amp;"")</f>
        <v>Gold Coast Refinery</v>
      </c>
      <c r="S82" s="222" t="str">
        <f t="shared" ca="1" si="12"/>
        <v>GH</v>
      </c>
      <c r="T82" s="222" t="str">
        <f ca="1">IF(B82="","",IF(ISERROR(MATCH($J82,SorP!$B$1:$B$6230,0)),"",INDIRECT("'SorP'!$A$"&amp;MATCH($J82,SorP!$B$1:$B$6230,0))))</f>
        <v/>
      </c>
      <c r="U82" s="238"/>
      <c r="V82" s="270">
        <f ca="1">IF(C82="",NA(),MATCH($B82&amp;$C82,'Smelter Look-up'!$J:$J,0))</f>
        <v>86</v>
      </c>
      <c r="W82" s="271"/>
      <c r="X82" s="271">
        <f t="shared" ca="1" si="13"/>
        <v>0</v>
      </c>
      <c r="Y82" s="271"/>
      <c r="Z82" s="271"/>
      <c r="AB82" s="273" t="str">
        <f t="shared" ca="1" si="14"/>
        <v>GoldGold Coast Refinery</v>
      </c>
    </row>
    <row r="83" spans="1:28" s="272" customFormat="1" ht="89.25">
      <c r="A83" s="355" t="s">
        <v>13147</v>
      </c>
      <c r="B83" s="215" t="str">
        <f ca="1">IF(LEN(A83)=0,"",INDEX('Smelter Look-up'!$A:$A,MATCH($A83,'Smelter Look-up'!$E:$E,0)))</f>
        <v>Tin</v>
      </c>
      <c r="C83" s="219" t="str">
        <f ca="1">IF(LEN(A83)=0,"",INDEX('Smelter Look-up'!$C:$C,MATCH($A83,'Smelter Look-up'!$E:$E,0)))</f>
        <v>Chifeng Dajingzi Tin Industry Co., Ltd.</v>
      </c>
      <c r="D83" s="278"/>
      <c r="E83" s="215" t="str">
        <f ca="1">IF(ISERROR($V83),"",OFFSET('Smelter Look-up'!$D$4,$V83-4,0)&amp;"")</f>
        <v>CHINA</v>
      </c>
      <c r="F83" s="215" t="str">
        <f ca="1">IF(ISERROR($V83),"",OFFSET('Smelter Look-up'!$E$4,$V83-4,0))</f>
        <v>CID003190</v>
      </c>
      <c r="G83" s="215" t="str">
        <f ca="1">IF(C83=$X$4,"Enter smelter details",IF(ISERROR($V83),"",OFFSET('Smelter Look-up'!$F$4,$V83-4,0)))</f>
        <v>RMI</v>
      </c>
      <c r="H83" s="216">
        <f ca="1">IF(ISERROR($V83),"",OFFSET('Smelter Look-up'!$G$4,$V83-4,0))</f>
        <v>0</v>
      </c>
      <c r="I83" s="217" t="str">
        <f ca="1">IF(ISERROR($V83),"",OFFSET('Smelter Look-up'!$H$4,$V83-4,0))</f>
        <v>Chifeng</v>
      </c>
      <c r="J83" s="217" t="str">
        <f ca="1">IF(ISERROR($V83),"",OFFSET('Smelter Look-up'!$I$4,$V83-4,0))</f>
        <v>Nei Mongol Zizhiqu</v>
      </c>
      <c r="K83" s="268"/>
      <c r="L83" s="268"/>
      <c r="M83" s="268"/>
      <c r="N83" s="268"/>
      <c r="O83" s="268"/>
      <c r="P83" s="218"/>
      <c r="Q83" s="269"/>
      <c r="R83" s="215" t="str">
        <f ca="1">IF(ISERROR($V83),"",OFFSET('Smelter Look-up'!$C$4,$V83-4,0)&amp;"")</f>
        <v>Chifeng Dajingzi Tin Industry Co., Ltd.</v>
      </c>
      <c r="S83" s="222" t="str">
        <f t="shared" ca="1" si="12"/>
        <v>CN</v>
      </c>
      <c r="T83" s="222" t="str">
        <f ca="1">IF(B83="","",IF(ISERROR(MATCH($J83,SorP!$B$1:$B$6230,0)),"",INDIRECT("'SorP'!$A$"&amp;MATCH($J83,SorP!$B$1:$B$6230,0))))</f>
        <v>CN-NM</v>
      </c>
      <c r="U83" s="238"/>
      <c r="V83" s="270">
        <f ca="1">IF(C83="",NA(),MATCH($B83&amp;$C83,'Smelter Look-up'!$J:$J,0))</f>
        <v>393</v>
      </c>
      <c r="W83" s="271"/>
      <c r="X83" s="271">
        <f t="shared" ca="1" si="13"/>
        <v>0</v>
      </c>
      <c r="Y83" s="271"/>
      <c r="Z83" s="271"/>
      <c r="AB83" s="273" t="str">
        <f t="shared" ca="1" si="14"/>
        <v>TinChifeng Dajingzi Tin Industry Co., Ltd.</v>
      </c>
    </row>
    <row r="84" spans="1:28" s="272" customFormat="1" ht="25.5">
      <c r="A84" s="355" t="s">
        <v>13135</v>
      </c>
      <c r="B84" s="215" t="str">
        <f ca="1">IF(LEN(A84)=0,"",INDEX('Smelter Look-up'!$A:$A,MATCH($A84,'Smelter Look-up'!$E:$E,0)))</f>
        <v>Gold</v>
      </c>
      <c r="C84" s="219" t="str">
        <f ca="1">IF(LEN(A84)=0,"",INDEX('Smelter Look-up'!$C:$C,MATCH($A84,'Smelter Look-up'!$E:$E,0)))</f>
        <v>TSK Pretech</v>
      </c>
      <c r="D84" s="278"/>
      <c r="E84" s="215" t="str">
        <f ca="1">IF(ISERROR($V84),"",OFFSET('Smelter Look-up'!$D$4,$V84-4,0)&amp;"")</f>
        <v>KOREA, REPUBLIC OF</v>
      </c>
      <c r="F84" s="215" t="str">
        <f ca="1">IF(ISERROR($V84),"",OFFSET('Smelter Look-up'!$E$4,$V84-4,0))</f>
        <v>CID003195</v>
      </c>
      <c r="G84" s="215" t="str">
        <f ca="1">IF(C84=$X$4,"Enter smelter details",IF(ISERROR($V84),"",OFFSET('Smelter Look-up'!$F$4,$V84-4,0)))</f>
        <v>RMI</v>
      </c>
      <c r="H84" s="216">
        <f ca="1">IF(ISERROR($V84),"",OFFSET('Smelter Look-up'!$G$4,$V84-4,0))</f>
        <v>0</v>
      </c>
      <c r="I84" s="217" t="str">
        <f ca="1">IF(ISERROR($V84),"",OFFSET('Smelter Look-up'!$H$4,$V84-4,0))</f>
        <v>Chopyeong-myeon</v>
      </c>
      <c r="J84" s="217" t="str">
        <f ca="1">IF(ISERROR($V84),"",OFFSET('Smelter Look-up'!$I$4,$V84-4,0))</f>
        <v>Chungcheongbuk-do</v>
      </c>
      <c r="K84" s="268"/>
      <c r="L84" s="268"/>
      <c r="M84" s="268"/>
      <c r="N84" s="268"/>
      <c r="O84" s="268"/>
      <c r="P84" s="218"/>
      <c r="Q84" s="269"/>
      <c r="R84" s="215" t="str">
        <f ca="1">IF(ISERROR($V84),"",OFFSET('Smelter Look-up'!$C$4,$V84-4,0)&amp;"")</f>
        <v>TSK Pretech</v>
      </c>
      <c r="S84" s="222" t="str">
        <f t="shared" ca="1" si="12"/>
        <v>KR</v>
      </c>
      <c r="T84" s="222" t="str">
        <f ca="1">IF(B84="","",IF(ISERROR(MATCH($J84,SorP!$B$1:$B$6230,0)),"",INDIRECT("'SorP'!$A$"&amp;MATCH($J84,SorP!$B$1:$B$6230,0))))</f>
        <v>KR-43</v>
      </c>
      <c r="U84" s="238"/>
      <c r="V84" s="270">
        <f ca="1">IF(C84="",NA(),MATCH($B84&amp;$C84,'Smelter Look-up'!$J:$J,0))</f>
        <v>283</v>
      </c>
      <c r="W84" s="271"/>
      <c r="X84" s="271">
        <f t="shared" ca="1" si="13"/>
        <v>0</v>
      </c>
      <c r="Y84" s="271"/>
      <c r="Z84" s="271"/>
      <c r="AB84" s="273" t="str">
        <f t="shared" ca="1" si="14"/>
        <v>GoldTSK Pretech</v>
      </c>
    </row>
    <row r="85" spans="1:28" s="272" customFormat="1" ht="76.5">
      <c r="A85" s="355" t="s">
        <v>650</v>
      </c>
      <c r="B85" s="215" t="str">
        <f ca="1">IF(LEN(A85)=0,"",INDEX('Smelter Look-up'!$A:$A,MATCH($A85,'Smelter Look-up'!$E:$E,0)))</f>
        <v>Gold</v>
      </c>
      <c r="C85" s="219" t="str">
        <f ca="1">IF(LEN(A85)=0,"",INDEX('Smelter Look-up'!$C:$C,MATCH($A85,'Smelter Look-up'!$E:$E,0)))</f>
        <v>Aida Chemical Industries Co., Ltd.</v>
      </c>
      <c r="D85" s="278"/>
      <c r="E85" s="215" t="str">
        <f ca="1">IF(ISERROR($V85),"",OFFSET('Smelter Look-up'!$D$4,$V85-4,0)&amp;"")</f>
        <v>JAPAN</v>
      </c>
      <c r="F85" s="215" t="str">
        <f ca="1">IF(ISERROR($V85),"",OFFSET('Smelter Look-up'!$E$4,$V85-4,0))</f>
        <v>CID000019</v>
      </c>
      <c r="G85" s="215" t="str">
        <f ca="1">IF(C85=$X$4,"Enter smelter details",IF(ISERROR($V85),"",OFFSET('Smelter Look-up'!$F$4,$V85-4,0)))</f>
        <v>RMI</v>
      </c>
      <c r="H85" s="216">
        <f ca="1">IF(ISERROR($V85),"",OFFSET('Smelter Look-up'!$G$4,$V85-4,0))</f>
        <v>0</v>
      </c>
      <c r="I85" s="217" t="str">
        <f ca="1">IF(ISERROR($V85),"",OFFSET('Smelter Look-up'!$H$4,$V85-4,0))</f>
        <v>Fuchu</v>
      </c>
      <c r="J85" s="217" t="str">
        <f ca="1">IF(ISERROR($V85),"",OFFSET('Smelter Look-up'!$I$4,$V85-4,0))</f>
        <v>Tokyo</v>
      </c>
      <c r="K85" s="268"/>
      <c r="L85" s="268"/>
      <c r="M85" s="268"/>
      <c r="N85" s="268"/>
      <c r="O85" s="268"/>
      <c r="P85" s="218"/>
      <c r="Q85" s="269"/>
      <c r="R85" s="215" t="str">
        <f ca="1">IF(ISERROR($V85),"",OFFSET('Smelter Look-up'!$C$4,$V85-4,0)&amp;"")</f>
        <v>Aida Chemical Industries Co., Ltd.</v>
      </c>
      <c r="S85" s="222" t="str">
        <f t="shared" ca="1" si="12"/>
        <v>JP</v>
      </c>
      <c r="T85" s="222" t="str">
        <f ca="1">IF(B85="","",IF(ISERROR(MATCH($J85,SorP!$B$1:$B$6230,0)),"",INDIRECT("'SorP'!$A$"&amp;MATCH($J85,SorP!$B$1:$B$6230,0))))</f>
        <v>JP-13</v>
      </c>
      <c r="U85" s="238"/>
      <c r="V85" s="270">
        <f ca="1">IF(C85="",NA(),MATCH($B85&amp;$C85,'Smelter Look-up'!$J:$J,0))</f>
        <v>11</v>
      </c>
      <c r="W85" s="271"/>
      <c r="X85" s="271">
        <f t="shared" ca="1" si="13"/>
        <v>0</v>
      </c>
      <c r="Y85" s="271"/>
      <c r="Z85" s="271"/>
      <c r="AB85" s="273" t="str">
        <f t="shared" ca="1" si="14"/>
        <v>GoldAida Chemical Industries Co., Ltd.</v>
      </c>
    </row>
    <row r="86" spans="1:28" s="272" customFormat="1" ht="76.5">
      <c r="A86" s="355" t="s">
        <v>721</v>
      </c>
      <c r="B86" s="215" t="str">
        <f ca="1">IF(LEN(A86)=0,"",INDEX('Smelter Look-up'!$A:$A,MATCH($A86,'Smelter Look-up'!$E:$E,0)))</f>
        <v>Gold</v>
      </c>
      <c r="C86" s="219" t="str">
        <f ca="1">IF(LEN(A86)=0,"",INDEX('Smelter Look-up'!$C:$C,MATCH($A86,'Smelter Look-up'!$E:$E,0)))</f>
        <v>PT Aneka Tambang (Persero) Tbk</v>
      </c>
      <c r="D86" s="278"/>
      <c r="E86" s="215" t="str">
        <f ca="1">IF(ISERROR($V86),"",OFFSET('Smelter Look-up'!$D$4,$V86-4,0)&amp;"")</f>
        <v>INDONESIA</v>
      </c>
      <c r="F86" s="215" t="str">
        <f ca="1">IF(ISERROR($V86),"",OFFSET('Smelter Look-up'!$E$4,$V86-4,0))</f>
        <v>CID001397</v>
      </c>
      <c r="G86" s="215" t="str">
        <f ca="1">IF(C86=$X$4,"Enter smelter details",IF(ISERROR($V86),"",OFFSET('Smelter Look-up'!$F$4,$V86-4,0)))</f>
        <v>RMI</v>
      </c>
      <c r="H86" s="216">
        <f ca="1">IF(ISERROR($V86),"",OFFSET('Smelter Look-up'!$G$4,$V86-4,0))</f>
        <v>0</v>
      </c>
      <c r="I86" s="217" t="str">
        <f ca="1">IF(ISERROR($V86),"",OFFSET('Smelter Look-up'!$H$4,$V86-4,0))</f>
        <v>Jakarta</v>
      </c>
      <c r="J86" s="217" t="str">
        <f ca="1">IF(ISERROR($V86),"",OFFSET('Smelter Look-up'!$I$4,$V86-4,0))</f>
        <v>Jakarta Raya</v>
      </c>
      <c r="K86" s="268"/>
      <c r="L86" s="268"/>
      <c r="M86" s="268"/>
      <c r="N86" s="268"/>
      <c r="O86" s="268"/>
      <c r="P86" s="218"/>
      <c r="Q86" s="269"/>
      <c r="R86" s="215" t="str">
        <f ca="1">IF(ISERROR($V86),"",OFFSET('Smelter Look-up'!$C$4,$V86-4,0)&amp;"")</f>
        <v>PT Aneka Tambang (Persero) Tbk</v>
      </c>
      <c r="S86" s="222" t="str">
        <f t="shared" ca="1" si="12"/>
        <v>ID</v>
      </c>
      <c r="T86" s="222" t="str">
        <f ca="1">IF(B86="","",IF(ISERROR(MATCH($J86,SorP!$B$1:$B$6230,0)),"",INDIRECT("'SorP'!$A$"&amp;MATCH($J86,SorP!$B$1:$B$6230,0))))</f>
        <v>ID-JK</v>
      </c>
      <c r="U86" s="238"/>
      <c r="V86" s="270">
        <f ca="1">IF(C86="",NA(),MATCH($B86&amp;$C86,'Smelter Look-up'!$J:$J,0))</f>
        <v>206</v>
      </c>
      <c r="W86" s="271"/>
      <c r="X86" s="271">
        <f t="shared" ca="1" si="13"/>
        <v>0</v>
      </c>
      <c r="Y86" s="271"/>
      <c r="Z86" s="271"/>
      <c r="AB86" s="273" t="str">
        <f t="shared" ca="1" si="14"/>
        <v>GoldPT Aneka Tambang (Persero) Tbk</v>
      </c>
    </row>
    <row r="87" spans="1:28" s="272" customFormat="1" ht="63.75">
      <c r="A87" s="355" t="s">
        <v>2223</v>
      </c>
      <c r="B87" s="215" t="str">
        <f ca="1">IF(LEN(A87)=0,"",INDEX('Smelter Look-up'!$A:$A,MATCH($A87,'Smelter Look-up'!$E:$E,0)))</f>
        <v>Gold</v>
      </c>
      <c r="C87" s="219" t="str">
        <f ca="1">IF(LEN(A87)=0,"",INDEX('Smelter Look-up'!$C:$C,MATCH($A87,'Smelter Look-up'!$E:$E,0)))</f>
        <v>WIELAND Edelmetalle GmbH</v>
      </c>
      <c r="D87" s="278"/>
      <c r="E87" s="215" t="str">
        <f ca="1">IF(ISERROR($V87),"",OFFSET('Smelter Look-up'!$D$4,$V87-4,0)&amp;"")</f>
        <v>GERMANY</v>
      </c>
      <c r="F87" s="215" t="str">
        <f ca="1">IF(ISERROR($V87),"",OFFSET('Smelter Look-up'!$E$4,$V87-4,0))</f>
        <v>CID002778</v>
      </c>
      <c r="G87" s="215" t="str">
        <f ca="1">IF(C87=$X$4,"Enter smelter details",IF(ISERROR($V87),"",OFFSET('Smelter Look-up'!$F$4,$V87-4,0)))</f>
        <v>RMI</v>
      </c>
      <c r="H87" s="216">
        <f ca="1">IF(ISERROR($V87),"",OFFSET('Smelter Look-up'!$G$4,$V87-4,0))</f>
        <v>0</v>
      </c>
      <c r="I87" s="217" t="str">
        <f ca="1">IF(ISERROR($V87),"",OFFSET('Smelter Look-up'!$H$4,$V87-4,0))</f>
        <v>Pforzheim</v>
      </c>
      <c r="J87" s="217" t="str">
        <f ca="1">IF(ISERROR($V87),"",OFFSET('Smelter Look-up'!$I$4,$V87-4,0))</f>
        <v>Baden-Württemberg</v>
      </c>
      <c r="K87" s="268"/>
      <c r="L87" s="268"/>
      <c r="M87" s="268"/>
      <c r="N87" s="268"/>
      <c r="O87" s="268"/>
      <c r="P87" s="218"/>
      <c r="Q87" s="269"/>
      <c r="R87" s="215" t="str">
        <f ca="1">IF(ISERROR($V87),"",OFFSET('Smelter Look-up'!$C$4,$V87-4,0)&amp;"")</f>
        <v>WIELAND Edelmetalle GmbH</v>
      </c>
      <c r="S87" s="222" t="str">
        <f t="shared" ca="1" si="12"/>
        <v>DE</v>
      </c>
      <c r="T87" s="222" t="str">
        <f ca="1">IF(B87="","",IF(ISERROR(MATCH($J87,SorP!$B$1:$B$6230,0)),"",INDIRECT("'SorP'!$A$"&amp;MATCH($J87,SorP!$B$1:$B$6230,0))))</f>
        <v>DE-BW</v>
      </c>
      <c r="U87" s="238"/>
      <c r="V87" s="270">
        <f ca="1">IF(C87="",NA(),MATCH($B87&amp;$C87,'Smelter Look-up'!$J:$J,0))</f>
        <v>292</v>
      </c>
      <c r="W87" s="271"/>
      <c r="X87" s="271">
        <f t="shared" ca="1" si="13"/>
        <v>0</v>
      </c>
      <c r="Y87" s="271"/>
      <c r="Z87" s="271"/>
      <c r="AB87" s="273" t="str">
        <f t="shared" ca="1" si="14"/>
        <v>GoldWIELAND Edelmetalle GmbH</v>
      </c>
    </row>
    <row r="88" spans="1:28" s="272" customFormat="1" ht="76.5">
      <c r="A88" s="355" t="s">
        <v>2302</v>
      </c>
      <c r="B88" s="215" t="str">
        <f ca="1">IF(LEN(A88)=0,"",INDEX('Smelter Look-up'!$A:$A,MATCH($A88,'Smelter Look-up'!$E:$E,0)))</f>
        <v>Tin</v>
      </c>
      <c r="C88" s="219" t="str">
        <f ca="1">IF(LEN(A88)=0,"",INDEX('Smelter Look-up'!$C:$C,MATCH($A88,'Smelter Look-up'!$E:$E,0)))</f>
        <v>HuiChang Hill Tin Industry Co., Ltd.</v>
      </c>
      <c r="D88" s="278"/>
      <c r="E88" s="215" t="str">
        <f ca="1">IF(ISERROR($V88),"",OFFSET('Smelter Look-up'!$D$4,$V88-4,0)&amp;"")</f>
        <v>CHINA</v>
      </c>
      <c r="F88" s="215" t="str">
        <f ca="1">IF(ISERROR($V88),"",OFFSET('Smelter Look-up'!$E$4,$V88-4,0))</f>
        <v>CID002844</v>
      </c>
      <c r="G88" s="215" t="str">
        <f ca="1">IF(C88=$X$4,"Enter smelter details",IF(ISERROR($V88),"",OFFSET('Smelter Look-up'!$F$4,$V88-4,0)))</f>
        <v>RMI</v>
      </c>
      <c r="H88" s="216">
        <f ca="1">IF(ISERROR($V88),"",OFFSET('Smelter Look-up'!$G$4,$V88-4,0))</f>
        <v>0</v>
      </c>
      <c r="I88" s="217" t="str">
        <f ca="1">IF(ISERROR($V88),"",OFFSET('Smelter Look-up'!$H$4,$V88-4,0))</f>
        <v>Ganzhou</v>
      </c>
      <c r="J88" s="217" t="str">
        <f ca="1">IF(ISERROR($V88),"",OFFSET('Smelter Look-up'!$I$4,$V88-4,0))</f>
        <v>Jiangxi Sheng</v>
      </c>
      <c r="K88" s="268"/>
      <c r="L88" s="268"/>
      <c r="M88" s="268"/>
      <c r="N88" s="268"/>
      <c r="O88" s="268"/>
      <c r="P88" s="218"/>
      <c r="Q88" s="269"/>
      <c r="R88" s="215" t="str">
        <f ca="1">IF(ISERROR($V88),"",OFFSET('Smelter Look-up'!$C$4,$V88-4,0)&amp;"")</f>
        <v>HuiChang Hill Tin Industry Co., Ltd.</v>
      </c>
      <c r="S88" s="222" t="str">
        <f t="shared" ca="1" si="12"/>
        <v>CN</v>
      </c>
      <c r="T88" s="222" t="str">
        <f ca="1">IF(B88="","",IF(ISERROR(MATCH($J88,SorP!$B$1:$B$6230,0)),"",INDIRECT("'SorP'!$A$"&amp;MATCH($J88,SorP!$B$1:$B$6230,0))))</f>
        <v>CN-JX</v>
      </c>
      <c r="U88" s="238"/>
      <c r="V88" s="270">
        <f ca="1">IF(C88="",NA(),MATCH($B88&amp;$C88,'Smelter Look-up'!$J:$J,0))</f>
        <v>437</v>
      </c>
      <c r="W88" s="271"/>
      <c r="X88" s="271">
        <f t="shared" ca="1" si="13"/>
        <v>0</v>
      </c>
      <c r="Y88" s="271"/>
      <c r="Z88" s="271"/>
      <c r="AB88" s="273" t="str">
        <f t="shared" ca="1" si="14"/>
        <v>TinHuiChang Hill Tin Industry Co., Ltd.</v>
      </c>
    </row>
    <row r="89" spans="1:28" s="272" customFormat="1" ht="51">
      <c r="A89" s="355" t="s">
        <v>655</v>
      </c>
      <c r="B89" s="215" t="str">
        <f ca="1">IF(LEN(A89)=0,"",INDEX('Smelter Look-up'!$A:$A,MATCH($A89,'Smelter Look-up'!$E:$E,0)))</f>
        <v>Gold</v>
      </c>
      <c r="C89" s="219" t="str">
        <f ca="1">IF(LEN(A89)=0,"",INDEX('Smelter Look-up'!$C:$C,MATCH($A89,'Smelter Look-up'!$E:$E,0)))</f>
        <v>Asahi Pretec Corp.</v>
      </c>
      <c r="D89" s="278"/>
      <c r="E89" s="215" t="str">
        <f ca="1">IF(ISERROR($V89),"",OFFSET('Smelter Look-up'!$D$4,$V89-4,0)&amp;"")</f>
        <v>JAPAN</v>
      </c>
      <c r="F89" s="215" t="str">
        <f ca="1">IF(ISERROR($V89),"",OFFSET('Smelter Look-up'!$E$4,$V89-4,0))</f>
        <v>CID000082</v>
      </c>
      <c r="G89" s="215" t="str">
        <f ca="1">IF(C89=$X$4,"Enter smelter details",IF(ISERROR($V89),"",OFFSET('Smelter Look-up'!$F$4,$V89-4,0)))</f>
        <v>RMI</v>
      </c>
      <c r="H89" s="216">
        <f ca="1">IF(ISERROR($V89),"",OFFSET('Smelter Look-up'!$G$4,$V89-4,0))</f>
        <v>0</v>
      </c>
      <c r="I89" s="217" t="str">
        <f ca="1">IF(ISERROR($V89),"",OFFSET('Smelter Look-up'!$H$4,$V89-4,0))</f>
        <v>Kobe</v>
      </c>
      <c r="J89" s="217" t="str">
        <f ca="1">IF(ISERROR($V89),"",OFFSET('Smelter Look-up'!$I$4,$V89-4,0))</f>
        <v>Hyogo</v>
      </c>
      <c r="K89" s="268"/>
      <c r="L89" s="268"/>
      <c r="M89" s="268"/>
      <c r="N89" s="268"/>
      <c r="O89" s="268"/>
      <c r="P89" s="218"/>
      <c r="Q89" s="269"/>
      <c r="R89" s="215" t="str">
        <f ca="1">IF(ISERROR($V89),"",OFFSET('Smelter Look-up'!$C$4,$V89-4,0)&amp;"")</f>
        <v>Asahi Pretec Corp.</v>
      </c>
      <c r="S89" s="222" t="str">
        <f t="shared" ca="1" si="12"/>
        <v>JP</v>
      </c>
      <c r="T89" s="222" t="str">
        <f ca="1">IF(B89="","",IF(ISERROR(MATCH($J89,SorP!$B$1:$B$6230,0)),"",INDIRECT("'SorP'!$A$"&amp;MATCH($J89,SorP!$B$1:$B$6230,0))))</f>
        <v>JP-28</v>
      </c>
      <c r="U89" s="238"/>
      <c r="V89" s="270">
        <f ca="1">IF(C89="",NA(),MATCH($B89&amp;$C89,'Smelter Look-up'!$J:$J,0))</f>
        <v>26</v>
      </c>
      <c r="W89" s="271"/>
      <c r="X89" s="271">
        <f t="shared" ca="1" si="13"/>
        <v>0</v>
      </c>
      <c r="Y89" s="271"/>
      <c r="Z89" s="271"/>
      <c r="AB89" s="273" t="str">
        <f t="shared" ca="1" si="14"/>
        <v>GoldAsahi Pretec Corp.</v>
      </c>
    </row>
    <row r="90" spans="1:28" s="272" customFormat="1" ht="25.5">
      <c r="A90" s="355" t="s">
        <v>658</v>
      </c>
      <c r="B90" s="215" t="str">
        <f ca="1">IF(LEN(A90)=0,"",INDEX('Smelter Look-up'!$A:$A,MATCH($A90,'Smelter Look-up'!$E:$E,0)))</f>
        <v>Gold</v>
      </c>
      <c r="C90" s="219" t="str">
        <f ca="1">IF(LEN(A90)=0,"",INDEX('Smelter Look-up'!$C:$C,MATCH($A90,'Smelter Look-up'!$E:$E,0)))</f>
        <v>Aurubis AG</v>
      </c>
      <c r="D90" s="278"/>
      <c r="E90" s="215" t="str">
        <f ca="1">IF(ISERROR($V90),"",OFFSET('Smelter Look-up'!$D$4,$V90-4,0)&amp;"")</f>
        <v>GERMANY</v>
      </c>
      <c r="F90" s="215" t="str">
        <f ca="1">IF(ISERROR($V90),"",OFFSET('Smelter Look-up'!$E$4,$V90-4,0))</f>
        <v>CID000113</v>
      </c>
      <c r="G90" s="215" t="str">
        <f ca="1">IF(C90=$X$4,"Enter smelter details",IF(ISERROR($V90),"",OFFSET('Smelter Look-up'!$F$4,$V90-4,0)))</f>
        <v>RMI</v>
      </c>
      <c r="H90" s="216">
        <f ca="1">IF(ISERROR($V90),"",OFFSET('Smelter Look-up'!$G$4,$V90-4,0))</f>
        <v>0</v>
      </c>
      <c r="I90" s="217" t="str">
        <f ca="1">IF(ISERROR($V90),"",OFFSET('Smelter Look-up'!$H$4,$V90-4,0))</f>
        <v>Hamburg</v>
      </c>
      <c r="J90" s="217" t="str">
        <f ca="1">IF(ISERROR($V90),"",OFFSET('Smelter Look-up'!$I$4,$V90-4,0))</f>
        <v>Hamburg</v>
      </c>
      <c r="K90" s="268"/>
      <c r="L90" s="268"/>
      <c r="M90" s="268"/>
      <c r="N90" s="268"/>
      <c r="O90" s="268"/>
      <c r="P90" s="218"/>
      <c r="Q90" s="269"/>
      <c r="R90" s="215" t="str">
        <f ca="1">IF(ISERROR($V90),"",OFFSET('Smelter Look-up'!$C$4,$V90-4,0)&amp;"")</f>
        <v>Aurubis AG</v>
      </c>
      <c r="S90" s="222" t="str">
        <f t="shared" ca="1" si="12"/>
        <v>DE</v>
      </c>
      <c r="T90" s="222" t="str">
        <f ca="1">IF(B90="","",IF(ISERROR(MATCH($J90,SorP!$B$1:$B$6230,0)),"",INDIRECT("'SorP'!$A$"&amp;MATCH($J90,SorP!$B$1:$B$6230,0))))</f>
        <v>DE-HH</v>
      </c>
      <c r="U90" s="238"/>
      <c r="V90" s="270">
        <f ca="1">IF(C90="",NA(),MATCH($B90&amp;$C90,'Smelter Look-up'!$J:$J,0))</f>
        <v>34</v>
      </c>
      <c r="W90" s="271"/>
      <c r="X90" s="271">
        <f t="shared" ca="1" si="13"/>
        <v>0</v>
      </c>
      <c r="Y90" s="271"/>
      <c r="Z90" s="271"/>
      <c r="AB90" s="273" t="str">
        <f t="shared" ca="1" si="14"/>
        <v>GoldAurubis AG</v>
      </c>
    </row>
    <row r="91" spans="1:28" s="272" customFormat="1" ht="38.25">
      <c r="A91" s="355" t="s">
        <v>691</v>
      </c>
      <c r="B91" s="215" t="str">
        <f ca="1">IF(LEN(A91)=0,"",INDEX('Smelter Look-up'!$A:$A,MATCH($A91,'Smelter Look-up'!$E:$E,0)))</f>
        <v>Gold</v>
      </c>
      <c r="C91" s="219" t="str">
        <f ca="1">IF(LEN(A91)=0,"",INDEX('Smelter Look-up'!$C:$C,MATCH($A91,'Smelter Look-up'!$E:$E,0)))</f>
        <v>JSC Uralelectromed</v>
      </c>
      <c r="D91" s="278"/>
      <c r="E91" s="215" t="str">
        <f ca="1">IF(ISERROR($V91),"",OFFSET('Smelter Look-up'!$D$4,$V91-4,0)&amp;"")</f>
        <v>RUSSIAN FEDERATION</v>
      </c>
      <c r="F91" s="215" t="str">
        <f ca="1">IF(ISERROR($V91),"",OFFSET('Smelter Look-up'!$E$4,$V91-4,0))</f>
        <v>CID000929</v>
      </c>
      <c r="G91" s="215" t="str">
        <f ca="1">IF(C91=$X$4,"Enter smelter details",IF(ISERROR($V91),"",OFFSET('Smelter Look-up'!$F$4,$V91-4,0)))</f>
        <v>RMI</v>
      </c>
      <c r="H91" s="216">
        <f ca="1">IF(ISERROR($V91),"",OFFSET('Smelter Look-up'!$G$4,$V91-4,0))</f>
        <v>0</v>
      </c>
      <c r="I91" s="217" t="str">
        <f ca="1">IF(ISERROR($V91),"",OFFSET('Smelter Look-up'!$H$4,$V91-4,0))</f>
        <v>Verkhnyaya Pyshma</v>
      </c>
      <c r="J91" s="217" t="str">
        <f ca="1">IF(ISERROR($V91),"",OFFSET('Smelter Look-up'!$I$4,$V91-4,0))</f>
        <v>Sverdlovskaya oblast'</v>
      </c>
      <c r="K91" s="268"/>
      <c r="L91" s="268"/>
      <c r="M91" s="268"/>
      <c r="N91" s="268"/>
      <c r="O91" s="268"/>
      <c r="P91" s="218"/>
      <c r="Q91" s="269"/>
      <c r="R91" s="215" t="str">
        <f ca="1">IF(ISERROR($V91),"",OFFSET('Smelter Look-up'!$C$4,$V91-4,0)&amp;"")</f>
        <v>JSC Uralelectromed</v>
      </c>
      <c r="S91" s="222" t="str">
        <f t="shared" ca="1" si="12"/>
        <v>RU</v>
      </c>
      <c r="T91" s="222" t="str">
        <f ca="1">IF(B91="","",IF(ISERROR(MATCH($J91,SorP!$B$1:$B$6230,0)),"",INDIRECT("'SorP'!$A$"&amp;MATCH($J91,SorP!$B$1:$B$6230,0))))</f>
        <v>RU-SVE</v>
      </c>
      <c r="U91" s="238"/>
      <c r="V91" s="270">
        <f ca="1">IF(C91="",NA(),MATCH($B91&amp;$C91,'Smelter Look-up'!$J:$J,0))</f>
        <v>127</v>
      </c>
      <c r="W91" s="271"/>
      <c r="X91" s="271">
        <f t="shared" ca="1" si="13"/>
        <v>0</v>
      </c>
      <c r="Y91" s="271"/>
      <c r="Z91" s="271"/>
      <c r="AB91" s="273" t="str">
        <f t="shared" ca="1" si="14"/>
        <v>GoldJSC Uralelectromed</v>
      </c>
    </row>
    <row r="92" spans="1:28" s="272" customFormat="1" ht="63.75">
      <c r="A92" s="355" t="s">
        <v>1402</v>
      </c>
      <c r="B92" s="215" t="str">
        <f ca="1">IF(LEN(A92)=0,"",INDEX('Smelter Look-up'!$A:$A,MATCH($A92,'Smelter Look-up'!$E:$E,0)))</f>
        <v>Tin</v>
      </c>
      <c r="C92" s="219" t="str">
        <f ca="1">IF(LEN(A92)=0,"",INDEX('Smelter Look-up'!$C:$C,MATCH($A92,'Smelter Look-up'!$E:$E,0)))</f>
        <v>O.M. Manufacturing Philippines, Inc.</v>
      </c>
      <c r="D92" s="278"/>
      <c r="E92" s="215" t="str">
        <f ca="1">IF(ISERROR($V92),"",OFFSET('Smelter Look-up'!$D$4,$V92-4,0)&amp;"")</f>
        <v>PHILIPPINES</v>
      </c>
      <c r="F92" s="215" t="str">
        <f ca="1">IF(ISERROR($V92),"",OFFSET('Smelter Look-up'!$E$4,$V92-4,0))</f>
        <v>CID002517</v>
      </c>
      <c r="G92" s="215" t="str">
        <f ca="1">IF(C92=$X$4,"Enter smelter details",IF(ISERROR($V92),"",OFFSET('Smelter Look-up'!$F$4,$V92-4,0)))</f>
        <v>RMI</v>
      </c>
      <c r="H92" s="216">
        <f ca="1">IF(ISERROR($V92),"",OFFSET('Smelter Look-up'!$G$4,$V92-4,0))</f>
        <v>0</v>
      </c>
      <c r="I92" s="217" t="str">
        <f ca="1">IF(ISERROR($V92),"",OFFSET('Smelter Look-up'!$H$4,$V92-4,0))</f>
        <v>Rosario</v>
      </c>
      <c r="J92" s="217" t="str">
        <f ca="1">IF(ISERROR($V92),"",OFFSET('Smelter Look-up'!$I$4,$V92-4,0))</f>
        <v>Cavite</v>
      </c>
      <c r="K92" s="268"/>
      <c r="L92" s="268"/>
      <c r="M92" s="268"/>
      <c r="N92" s="268"/>
      <c r="O92" s="268"/>
      <c r="P92" s="218"/>
      <c r="Q92" s="269"/>
      <c r="R92" s="215" t="str">
        <f ca="1">IF(ISERROR($V92),"",OFFSET('Smelter Look-up'!$C$4,$V92-4,0)&amp;"")</f>
        <v>O.M. Manufacturing Philippines, Inc.</v>
      </c>
      <c r="S92" s="222" t="str">
        <f t="shared" ca="1" si="12"/>
        <v>PH</v>
      </c>
      <c r="T92" s="222" t="str">
        <f ca="1">IF(B92="","",IF(ISERROR(MATCH($J92,SorP!$B$1:$B$6230,0)),"",INDIRECT("'SorP'!$A$"&amp;MATCH($J92,SorP!$B$1:$B$6230,0))))</f>
        <v>PH-CAV</v>
      </c>
      <c r="U92" s="238"/>
      <c r="V92" s="270">
        <f ca="1">IF(C92="",NA(),MATCH($B92&amp;$C92,'Smelter Look-up'!$J:$J,0))</f>
        <v>469</v>
      </c>
      <c r="W92" s="271"/>
      <c r="X92" s="271">
        <f t="shared" ca="1" si="13"/>
        <v>0</v>
      </c>
      <c r="Y92" s="271"/>
      <c r="Z92" s="271"/>
      <c r="AB92" s="273" t="str">
        <f t="shared" ca="1" si="14"/>
        <v>TinO.M. Manufacturing Philippines, Inc.</v>
      </c>
    </row>
    <row r="93" spans="1:28" s="272" customFormat="1" ht="76.5">
      <c r="A93" s="355" t="s">
        <v>672</v>
      </c>
      <c r="B93" s="215" t="str">
        <f ca="1">IF(LEN(A93)=0,"",INDEX('Smelter Look-up'!$A:$A,MATCH($A93,'Smelter Look-up'!$E:$E,0)))</f>
        <v>Gold</v>
      </c>
      <c r="C93" s="219" t="str">
        <f ca="1">IF(LEN(A93)=0,"",INDEX('Smelter Look-up'!$C:$C,MATCH($A93,'Smelter Look-up'!$E:$E,0)))</f>
        <v>DODUCO Contacts and Refining GmbH</v>
      </c>
      <c r="D93" s="278"/>
      <c r="E93" s="215" t="str">
        <f ca="1">IF(ISERROR($V93),"",OFFSET('Smelter Look-up'!$D$4,$V93-4,0)&amp;"")</f>
        <v>GERMANY</v>
      </c>
      <c r="F93" s="215" t="str">
        <f ca="1">IF(ISERROR($V93),"",OFFSET('Smelter Look-up'!$E$4,$V93-4,0))</f>
        <v>CID000362</v>
      </c>
      <c r="G93" s="215" t="str">
        <f ca="1">IF(C93=$X$4,"Enter smelter details",IF(ISERROR($V93),"",OFFSET('Smelter Look-up'!$F$4,$V93-4,0)))</f>
        <v>RMI</v>
      </c>
      <c r="H93" s="216">
        <f ca="1">IF(ISERROR($V93),"",OFFSET('Smelter Look-up'!$G$4,$V93-4,0))</f>
        <v>0</v>
      </c>
      <c r="I93" s="217" t="str">
        <f ca="1">IF(ISERROR($V93),"",OFFSET('Smelter Look-up'!$H$4,$V93-4,0))</f>
        <v>Pforzheim</v>
      </c>
      <c r="J93" s="217" t="str">
        <f ca="1">IF(ISERROR($V93),"",OFFSET('Smelter Look-up'!$I$4,$V93-4,0))</f>
        <v>Baden-Württemberg</v>
      </c>
      <c r="K93" s="268"/>
      <c r="L93" s="268"/>
      <c r="M93" s="268"/>
      <c r="N93" s="268"/>
      <c r="O93" s="268"/>
      <c r="P93" s="218"/>
      <c r="Q93" s="269"/>
      <c r="R93" s="215" t="str">
        <f ca="1">IF(ISERROR($V93),"",OFFSET('Smelter Look-up'!$C$4,$V93-4,0)&amp;"")</f>
        <v>DODUCO Contacts and Refining GmbH</v>
      </c>
      <c r="S93" s="222" t="str">
        <f t="shared" ca="1" si="12"/>
        <v>DE</v>
      </c>
      <c r="T93" s="222" t="str">
        <f ca="1">IF(B93="","",IF(ISERROR(MATCH($J93,SorP!$B$1:$B$6230,0)),"",INDIRECT("'SorP'!$A$"&amp;MATCH($J93,SorP!$B$1:$B$6230,0))))</f>
        <v>DE-BW</v>
      </c>
      <c r="U93" s="238"/>
      <c r="V93" s="270">
        <f ca="1">IF(C93="",NA(),MATCH($B93&amp;$C93,'Smelter Look-up'!$J:$J,0))</f>
        <v>62</v>
      </c>
      <c r="W93" s="271"/>
      <c r="X93" s="271">
        <f t="shared" ca="1" si="13"/>
        <v>0</v>
      </c>
      <c r="Y93" s="271"/>
      <c r="Z93" s="271"/>
      <c r="AB93" s="273" t="str">
        <f t="shared" ca="1" si="14"/>
        <v>GoldDODUCO Contacts and Refining GmbH</v>
      </c>
    </row>
    <row r="94" spans="1:28" s="272" customFormat="1" ht="51">
      <c r="A94" s="355" t="s">
        <v>674</v>
      </c>
      <c r="B94" s="215" t="str">
        <f ca="1">IF(LEN(A94)=0,"",INDEX('Smelter Look-up'!$A:$A,MATCH($A94,'Smelter Look-up'!$E:$E,0)))</f>
        <v>Gold</v>
      </c>
      <c r="C94" s="219" t="str">
        <f ca="1">IF(LEN(A94)=0,"",INDEX('Smelter Look-up'!$C:$C,MATCH($A94,'Smelter Look-up'!$E:$E,0)))</f>
        <v>JSC Novosibirsk Refinery</v>
      </c>
      <c r="D94" s="278"/>
      <c r="E94" s="215" t="str">
        <f ca="1">IF(ISERROR($V94),"",OFFSET('Smelter Look-up'!$D$4,$V94-4,0)&amp;"")</f>
        <v>RUSSIAN FEDERATION</v>
      </c>
      <c r="F94" s="215" t="str">
        <f ca="1">IF(ISERROR($V94),"",OFFSET('Smelter Look-up'!$E$4,$V94-4,0))</f>
        <v>CID000493</v>
      </c>
      <c r="G94" s="215" t="str">
        <f ca="1">IF(C94=$X$4,"Enter smelter details",IF(ISERROR($V94),"",OFFSET('Smelter Look-up'!$F$4,$V94-4,0)))</f>
        <v>RMI</v>
      </c>
      <c r="H94" s="216">
        <f ca="1">IF(ISERROR($V94),"",OFFSET('Smelter Look-up'!$G$4,$V94-4,0))</f>
        <v>0</v>
      </c>
      <c r="I94" s="217" t="str">
        <f ca="1">IF(ISERROR($V94),"",OFFSET('Smelter Look-up'!$H$4,$V94-4,0))</f>
        <v>Novosibirsk</v>
      </c>
      <c r="J94" s="217" t="str">
        <f ca="1">IF(ISERROR($V94),"",OFFSET('Smelter Look-up'!$I$4,$V94-4,0))</f>
        <v>Novosibirskaya oblast'</v>
      </c>
      <c r="K94" s="268"/>
      <c r="L94" s="268"/>
      <c r="M94" s="268"/>
      <c r="N94" s="268"/>
      <c r="O94" s="268"/>
      <c r="P94" s="218"/>
      <c r="Q94" s="269"/>
      <c r="R94" s="215" t="str">
        <f ca="1">IF(ISERROR($V94),"",OFFSET('Smelter Look-up'!$C$4,$V94-4,0)&amp;"")</f>
        <v>JSC Novosibirsk Refinery</v>
      </c>
      <c r="S94" s="222" t="str">
        <f t="shared" ca="1" si="12"/>
        <v>RU</v>
      </c>
      <c r="T94" s="222" t="str">
        <f ca="1">IF(B94="","",IF(ISERROR(MATCH($J94,SorP!$B$1:$B$6230,0)),"",INDIRECT("'SorP'!$A$"&amp;MATCH($J94,SorP!$B$1:$B$6230,0))))</f>
        <v>RU-NVS</v>
      </c>
      <c r="U94" s="238"/>
      <c r="V94" s="270">
        <f ca="1">IF(C94="",NA(),MATCH($B94&amp;$C94,'Smelter Look-up'!$J:$J,0))</f>
        <v>126</v>
      </c>
      <c r="W94" s="271"/>
      <c r="X94" s="271">
        <f t="shared" ca="1" si="13"/>
        <v>0</v>
      </c>
      <c r="Y94" s="271"/>
      <c r="Z94" s="271"/>
      <c r="AB94" s="273" t="str">
        <f t="shared" ca="1" si="14"/>
        <v>GoldJSC Novosibirsk Refinery</v>
      </c>
    </row>
    <row r="95" spans="1:28" s="272" customFormat="1" ht="89.25">
      <c r="A95" s="355" t="s">
        <v>14034</v>
      </c>
      <c r="B95" s="215" t="str">
        <f ca="1">IF(LEN(A95)=0,"",INDEX('Smelter Look-up'!$A:$A,MATCH($A95,'Smelter Look-up'!$E:$E,0)))</f>
        <v>Tin</v>
      </c>
      <c r="C95" s="219" t="str">
        <f ca="1">IF(LEN(A95)=0,"",INDEX('Smelter Look-up'!$C:$C,MATCH($A95,'Smelter Look-up'!$E:$E,0)))</f>
        <v>Thai Nguyen Mining and Metallurgy Co., Ltd.</v>
      </c>
      <c r="D95" s="278"/>
      <c r="E95" s="215" t="str">
        <f ca="1">IF(ISERROR($V95),"",OFFSET('Smelter Look-up'!$D$4,$V95-4,0)&amp;"")</f>
        <v>VIET NAM</v>
      </c>
      <c r="F95" s="215" t="str">
        <f ca="1">IF(ISERROR($V95),"",OFFSET('Smelter Look-up'!$E$4,$V95-4,0))</f>
        <v>CID002834</v>
      </c>
      <c r="G95" s="215" t="str">
        <f ca="1">IF(C95=$X$4,"Enter smelter details",IF(ISERROR($V95),"",OFFSET('Smelter Look-up'!$F$4,$V95-4,0)))</f>
        <v>RMI</v>
      </c>
      <c r="H95" s="216">
        <f ca="1">IF(ISERROR($V95),"",OFFSET('Smelter Look-up'!$G$4,$V95-4,0))</f>
        <v>0</v>
      </c>
      <c r="I95" s="217" t="str">
        <f ca="1">IF(ISERROR($V95),"",OFFSET('Smelter Look-up'!$H$4,$V95-4,0))</f>
        <v>Thai Nguyen</v>
      </c>
      <c r="J95" s="217" t="str">
        <f ca="1">IF(ISERROR($V95),"",OFFSET('Smelter Look-up'!$I$4,$V95-4,0))</f>
        <v>Thái Nguyên</v>
      </c>
      <c r="K95" s="268"/>
      <c r="L95" s="268"/>
      <c r="M95" s="268"/>
      <c r="N95" s="268"/>
      <c r="O95" s="268"/>
      <c r="P95" s="218"/>
      <c r="Q95" s="269"/>
      <c r="R95" s="215" t="str">
        <f ca="1">IF(ISERROR($V95),"",OFFSET('Smelter Look-up'!$C$4,$V95-4,0)&amp;"")</f>
        <v>Thai Nguyen Mining and Metallurgy Co., Ltd.</v>
      </c>
      <c r="S95" s="222" t="str">
        <f t="shared" ca="1" si="12"/>
        <v>VN</v>
      </c>
      <c r="T95" s="222" t="str">
        <f ca="1">IF(B95="","",IF(ISERROR(MATCH($J95,SorP!$B$1:$B$6230,0)),"",INDIRECT("'SorP'!$A$"&amp;MATCH($J95,SorP!$B$1:$B$6230,0))))</f>
        <v>VN-69</v>
      </c>
      <c r="U95" s="238"/>
      <c r="V95" s="270">
        <f ca="1">IF(C95="",NA(),MATCH($B95&amp;$C95,'Smelter Look-up'!$J:$J,0))</f>
        <v>501</v>
      </c>
      <c r="W95" s="271"/>
      <c r="X95" s="271">
        <f t="shared" ca="1" si="13"/>
        <v>0</v>
      </c>
      <c r="Y95" s="271"/>
      <c r="Z95" s="271"/>
      <c r="AB95" s="273" t="str">
        <f t="shared" ca="1" si="14"/>
        <v>TinThai Nguyen Mining and Metallurgy Co., Ltd.</v>
      </c>
    </row>
    <row r="96" spans="1:28" s="272" customFormat="1" ht="102">
      <c r="A96" s="355" t="s">
        <v>651</v>
      </c>
      <c r="B96" s="215" t="str">
        <f ca="1">IF(LEN(A96)=0,"",INDEX('Smelter Look-up'!$A:$A,MATCH($A96,'Smelter Look-up'!$E:$E,0)))</f>
        <v>Gold</v>
      </c>
      <c r="C96" s="219" t="str">
        <f ca="1">IF(LEN(A96)=0,"",INDEX('Smelter Look-up'!$C:$C,MATCH($A96,'Smelter Look-up'!$E:$E,0)))</f>
        <v>Allgemeine Gold-und Silberscheideanstalt A.G.</v>
      </c>
      <c r="D96" s="278"/>
      <c r="E96" s="215" t="str">
        <f ca="1">IF(ISERROR($V96),"",OFFSET('Smelter Look-up'!$D$4,$V96-4,0)&amp;"")</f>
        <v>GERMANY</v>
      </c>
      <c r="F96" s="215" t="str">
        <f ca="1">IF(ISERROR($V96),"",OFFSET('Smelter Look-up'!$E$4,$V96-4,0))</f>
        <v>CID000035</v>
      </c>
      <c r="G96" s="215" t="str">
        <f ca="1">IF(C96=$X$4,"Enter smelter details",IF(ISERROR($V96),"",OFFSET('Smelter Look-up'!$F$4,$V96-4,0)))</f>
        <v>RMI</v>
      </c>
      <c r="H96" s="216">
        <f ca="1">IF(ISERROR($V96),"",OFFSET('Smelter Look-up'!$G$4,$V96-4,0))</f>
        <v>0</v>
      </c>
      <c r="I96" s="217" t="str">
        <f ca="1">IF(ISERROR($V96),"",OFFSET('Smelter Look-up'!$H$4,$V96-4,0))</f>
        <v>Pforzheim</v>
      </c>
      <c r="J96" s="217" t="str">
        <f ca="1">IF(ISERROR($V96),"",OFFSET('Smelter Look-up'!$I$4,$V96-4,0))</f>
        <v>Baden-Württemberg</v>
      </c>
      <c r="K96" s="268"/>
      <c r="L96" s="268"/>
      <c r="M96" s="268"/>
      <c r="N96" s="268"/>
      <c r="O96" s="268"/>
      <c r="P96" s="218"/>
      <c r="Q96" s="269"/>
      <c r="R96" s="215" t="str">
        <f ca="1">IF(ISERROR($V96),"",OFFSET('Smelter Look-up'!$C$4,$V96-4,0)&amp;"")</f>
        <v>Allgemeine Gold-und Silberscheideanstalt A.G.</v>
      </c>
      <c r="S96" s="222" t="str">
        <f t="shared" ca="1" si="12"/>
        <v>DE</v>
      </c>
      <c r="T96" s="222" t="str">
        <f ca="1">IF(B96="","",IF(ISERROR(MATCH($J96,SorP!$B$1:$B$6230,0)),"",INDIRECT("'SorP'!$A$"&amp;MATCH($J96,SorP!$B$1:$B$6230,0))))</f>
        <v>DE-BW</v>
      </c>
      <c r="U96" s="238"/>
      <c r="V96" s="270">
        <f ca="1">IF(C96="",NA(),MATCH($B96&amp;$C96,'Smelter Look-up'!$J:$J,0))</f>
        <v>16</v>
      </c>
      <c r="W96" s="271"/>
      <c r="X96" s="271">
        <f t="shared" ca="1" si="13"/>
        <v>0</v>
      </c>
      <c r="Y96" s="271"/>
      <c r="Z96" s="271"/>
      <c r="AB96" s="273" t="str">
        <f t="shared" ca="1" si="14"/>
        <v>GoldAllgemeine Gold-und Silberscheideanstalt A.G.</v>
      </c>
    </row>
    <row r="97" spans="1:28" s="272" customFormat="1" ht="102">
      <c r="A97" s="214" t="s">
        <v>652</v>
      </c>
      <c r="B97" s="215" t="str">
        <f ca="1">IF(LEN(A97)=0,"",INDEX('Smelter Look-up'!$A:$A,MATCH($A97,'Smelter Look-up'!$E:$E,0)))</f>
        <v>Gold</v>
      </c>
      <c r="C97" s="219" t="str">
        <f ca="1">IF(LEN(A97)=0,"",INDEX('Smelter Look-up'!$C:$C,MATCH($A97,'Smelter Look-up'!$E:$E,0)))</f>
        <v>Almalyk Mining and Metallurgical Complex (AMMC)</v>
      </c>
      <c r="D97" s="278"/>
      <c r="E97" s="215" t="str">
        <f ca="1">IF(ISERROR($V97),"",OFFSET('Smelter Look-up'!$D$4,$V97-4,0)&amp;"")</f>
        <v>UZBEKISTAN</v>
      </c>
      <c r="F97" s="215" t="str">
        <f ca="1">IF(ISERROR($V97),"",OFFSET('Smelter Look-up'!$E$4,$V97-4,0))</f>
        <v>CID000041</v>
      </c>
      <c r="G97" s="215" t="str">
        <f ca="1">IF(C97=$X$4,"Enter smelter details",IF(ISERROR($V97),"",OFFSET('Smelter Look-up'!$F$4,$V97-4,0)))</f>
        <v>RMI</v>
      </c>
      <c r="H97" s="216">
        <f ca="1">IF(ISERROR($V97),"",OFFSET('Smelter Look-up'!$G$4,$V97-4,0))</f>
        <v>0</v>
      </c>
      <c r="I97" s="217" t="str">
        <f ca="1">IF(ISERROR($V97),"",OFFSET('Smelter Look-up'!$H$4,$V97-4,0))</f>
        <v>Almalyk</v>
      </c>
      <c r="J97" s="217" t="str">
        <f ca="1">IF(ISERROR($V97),"",OFFSET('Smelter Look-up'!$I$4,$V97-4,0))</f>
        <v>Toshkent</v>
      </c>
      <c r="K97" s="268"/>
      <c r="L97" s="268"/>
      <c r="M97" s="268"/>
      <c r="N97" s="268"/>
      <c r="O97" s="268"/>
      <c r="P97" s="218"/>
      <c r="Q97" s="269"/>
      <c r="R97" s="215" t="str">
        <f ca="1">IF(ISERROR($V97),"",OFFSET('Smelter Look-up'!$C$4,$V97-4,0)&amp;"")</f>
        <v>Almalyk Mining and Metallurgical Complex (AMMC)</v>
      </c>
      <c r="S97" s="222" t="str">
        <f t="shared" ca="1" si="12"/>
        <v>UZ</v>
      </c>
      <c r="T97" s="222" t="str">
        <f ca="1">IF(B97="","",IF(ISERROR(MATCH($J97,SorP!$B$1:$B$6230,0)),"",INDIRECT("'SorP'!$A$"&amp;MATCH($J97,SorP!$B$1:$B$6230,0))))</f>
        <v>UZ-TK</v>
      </c>
      <c r="U97" s="238"/>
      <c r="V97" s="270">
        <f ca="1">IF(C97="",NA(),MATCH($B97&amp;$C97,'Smelter Look-up'!$J:$J,0))</f>
        <v>17</v>
      </c>
      <c r="W97" s="271"/>
      <c r="X97" s="271">
        <f t="shared" ca="1" si="13"/>
        <v>0</v>
      </c>
      <c r="Y97" s="271"/>
      <c r="Z97" s="271"/>
      <c r="AB97" s="273" t="str">
        <f t="shared" ca="1" si="14"/>
        <v>GoldAlmalyk Mining and Metallurgical Complex (AMMC)</v>
      </c>
    </row>
    <row r="98" spans="1:28" s="272" customFormat="1" ht="51">
      <c r="A98" s="214" t="s">
        <v>768</v>
      </c>
      <c r="B98" s="215" t="str">
        <f ca="1">IF(LEN(A98)=0,"",INDEX('Smelter Look-up'!$A:$A,MATCH($A98,'Smelter Look-up'!$E:$E,0)))</f>
        <v>Tin</v>
      </c>
      <c r="C98" s="219" t="str">
        <f ca="1">IF(LEN(A98)=0,"",INDEX('Smelter Look-up'!$C:$C,MATCH($A98,'Smelter Look-up'!$E:$E,0)))</f>
        <v>Estanho de Rondonia S.A.</v>
      </c>
      <c r="D98" s="278"/>
      <c r="E98" s="215" t="str">
        <f ca="1">IF(ISERROR($V98),"",OFFSET('Smelter Look-up'!$D$4,$V98-4,0)&amp;"")</f>
        <v>BRAZIL</v>
      </c>
      <c r="F98" s="215" t="str">
        <f ca="1">IF(ISERROR($V98),"",OFFSET('Smelter Look-up'!$E$4,$V98-4,0))</f>
        <v>CID000448</v>
      </c>
      <c r="G98" s="215" t="str">
        <f ca="1">IF(C98=$X$4,"Enter smelter details",IF(ISERROR($V98),"",OFFSET('Smelter Look-up'!$F$4,$V98-4,0)))</f>
        <v>RMI</v>
      </c>
      <c r="H98" s="216">
        <f ca="1">IF(ISERROR($V98),"",OFFSET('Smelter Look-up'!$G$4,$V98-4,0))</f>
        <v>0</v>
      </c>
      <c r="I98" s="217" t="str">
        <f ca="1">IF(ISERROR($V98),"",OFFSET('Smelter Look-up'!$H$4,$V98-4,0))</f>
        <v>Ariquemes</v>
      </c>
      <c r="J98" s="217" t="str">
        <f ca="1">IF(ISERROR($V98),"",OFFSET('Smelter Look-up'!$I$4,$V98-4,0))</f>
        <v>Rondônia</v>
      </c>
      <c r="K98" s="268"/>
      <c r="L98" s="268"/>
      <c r="M98" s="268"/>
      <c r="N98" s="268"/>
      <c r="O98" s="268"/>
      <c r="P98" s="218"/>
      <c r="Q98" s="269"/>
      <c r="R98" s="215" t="str">
        <f ca="1">IF(ISERROR($V98),"",OFFSET('Smelter Look-up'!$C$4,$V98-4,0)&amp;"")</f>
        <v>Estanho de Rondonia S.A.</v>
      </c>
      <c r="S98" s="222" t="str">
        <f t="shared" ca="1" si="12"/>
        <v>BR</v>
      </c>
      <c r="T98" s="222" t="str">
        <f ca="1">IF(B98="","",IF(ISERROR(MATCH($J98,SorP!$B$1:$B$6230,0)),"",INDIRECT("'SorP'!$A$"&amp;MATCH($J98,SorP!$B$1:$B$6230,0))))</f>
        <v>BR-RO</v>
      </c>
      <c r="U98" s="238"/>
      <c r="V98" s="270">
        <f ca="1">IF(C98="",NA(),MATCH($B98&amp;$C98,'Smelter Look-up'!$J:$J,0))</f>
        <v>416</v>
      </c>
      <c r="W98" s="271"/>
      <c r="X98" s="271">
        <f t="shared" ca="1" si="13"/>
        <v>0</v>
      </c>
      <c r="Y98" s="271"/>
      <c r="Z98" s="271"/>
      <c r="AB98" s="273" t="str">
        <f t="shared" ca="1" si="14"/>
        <v>TinEstanho de Rondonia S.A.</v>
      </c>
    </row>
    <row r="99" spans="1:28" s="272" customFormat="1" ht="51">
      <c r="A99" s="214" t="s">
        <v>2212</v>
      </c>
      <c r="B99" s="215" t="str">
        <f ca="1">IF(LEN(A99)=0,"",INDEX('Smelter Look-up'!$A:$A,MATCH($A99,'Smelter Look-up'!$E:$E,0)))</f>
        <v>Gold</v>
      </c>
      <c r="C99" s="219" t="str">
        <f ca="1">IF(LEN(A99)=0,"",INDEX('Smelter Look-up'!$C:$C,MATCH($A99,'Smelter Look-up'!$E:$E,0)))</f>
        <v>Kazakhmys Smelting LLC</v>
      </c>
      <c r="D99" s="278"/>
      <c r="E99" s="215" t="str">
        <f ca="1">IF(ISERROR($V99),"",OFFSET('Smelter Look-up'!$D$4,$V99-4,0)&amp;"")</f>
        <v>KAZAKHSTAN</v>
      </c>
      <c r="F99" s="215" t="str">
        <f ca="1">IF(ISERROR($V99),"",OFFSET('Smelter Look-up'!$E$4,$V99-4,0))</f>
        <v>CID000956</v>
      </c>
      <c r="G99" s="215" t="str">
        <f ca="1">IF(C99=$X$4,"Enter smelter details",IF(ISERROR($V99),"",OFFSET('Smelter Look-up'!$F$4,$V99-4,0)))</f>
        <v>RMI</v>
      </c>
      <c r="H99" s="216">
        <f ca="1">IF(ISERROR($V99),"",OFFSET('Smelter Look-up'!$G$4,$V99-4,0))</f>
        <v>0</v>
      </c>
      <c r="I99" s="217" t="str">
        <f ca="1">IF(ISERROR($V99),"",OFFSET('Smelter Look-up'!$H$4,$V99-4,0))</f>
        <v>Balkhash</v>
      </c>
      <c r="J99" s="217" t="str">
        <f ca="1">IF(ISERROR($V99),"",OFFSET('Smelter Look-up'!$I$4,$V99-4,0))</f>
        <v>Qaraghandy oblysy</v>
      </c>
      <c r="K99" s="268"/>
      <c r="L99" s="268"/>
      <c r="M99" s="268"/>
      <c r="N99" s="268"/>
      <c r="O99" s="268"/>
      <c r="P99" s="218"/>
      <c r="Q99" s="269"/>
      <c r="R99" s="215" t="str">
        <f ca="1">IF(ISERROR($V99),"",OFFSET('Smelter Look-up'!$C$4,$V99-4,0)&amp;"")</f>
        <v>Kazakhmys Smelting LLC</v>
      </c>
      <c r="S99" s="222" t="str">
        <f t="shared" ca="1" si="12"/>
        <v>KZ</v>
      </c>
      <c r="T99" s="222" t="str">
        <f ca="1">IF(B99="","",IF(ISERROR(MATCH($J99,SorP!$B$1:$B$6230,0)),"",INDIRECT("'SorP'!$A$"&amp;MATCH($J99,SorP!$B$1:$B$6230,0))))</f>
        <v>KZ-KAR</v>
      </c>
      <c r="U99" s="238"/>
      <c r="V99" s="270">
        <f ca="1">IF(C99="",NA(),MATCH($B99&amp;$C99,'Smelter Look-up'!$J:$J,0))</f>
        <v>131</v>
      </c>
      <c r="W99" s="271"/>
      <c r="X99" s="271">
        <f t="shared" ca="1" si="13"/>
        <v>0</v>
      </c>
      <c r="Y99" s="271"/>
      <c r="Z99" s="271"/>
      <c r="AB99" s="273" t="str">
        <f t="shared" ca="1" si="14"/>
        <v>GoldKazakhmys Smelting LLC</v>
      </c>
    </row>
    <row r="100" spans="1:28" s="272" customFormat="1" ht="38.25">
      <c r="A100" s="214" t="s">
        <v>697</v>
      </c>
      <c r="B100" s="215" t="str">
        <f ca="1">IF(LEN(A100)=0,"",INDEX('Smelter Look-up'!$A:$A,MATCH($A100,'Smelter Look-up'!$E:$E,0)))</f>
        <v>Gold</v>
      </c>
      <c r="C100" s="219" t="str">
        <f ca="1">IF(LEN(A100)=0,"",INDEX('Smelter Look-up'!$C:$C,MATCH($A100,'Smelter Look-up'!$E:$E,0)))</f>
        <v>Kyrgyzaltyn JSC</v>
      </c>
      <c r="D100" s="278"/>
      <c r="E100" s="215" t="str">
        <f ca="1">IF(ISERROR($V100),"",OFFSET('Smelter Look-up'!$D$4,$V100-4,0)&amp;"")</f>
        <v>KYRGYZSTAN</v>
      </c>
      <c r="F100" s="215" t="str">
        <f ca="1">IF(ISERROR($V100),"",OFFSET('Smelter Look-up'!$E$4,$V100-4,0))</f>
        <v>CID001029</v>
      </c>
      <c r="G100" s="215" t="str">
        <f ca="1">IF(C100=$X$4,"Enter smelter details",IF(ISERROR($V100),"",OFFSET('Smelter Look-up'!$F$4,$V100-4,0)))</f>
        <v>RMI</v>
      </c>
      <c r="H100" s="216">
        <f ca="1">IF(ISERROR($V100),"",OFFSET('Smelter Look-up'!$G$4,$V100-4,0))</f>
        <v>0</v>
      </c>
      <c r="I100" s="217" t="str">
        <f ca="1">IF(ISERROR($V100),"",OFFSET('Smelter Look-up'!$H$4,$V100-4,0))</f>
        <v>Bishkek</v>
      </c>
      <c r="J100" s="217" t="str">
        <f ca="1">IF(ISERROR($V100),"",OFFSET('Smelter Look-up'!$I$4,$V100-4,0))</f>
        <v>Chüy</v>
      </c>
      <c r="K100" s="268"/>
      <c r="L100" s="268"/>
      <c r="M100" s="268"/>
      <c r="N100" s="268"/>
      <c r="O100" s="268"/>
      <c r="P100" s="218"/>
      <c r="Q100" s="269"/>
      <c r="R100" s="215" t="str">
        <f ca="1">IF(ISERROR($V100),"",OFFSET('Smelter Look-up'!$C$4,$V100-4,0)&amp;"")</f>
        <v>Kyrgyzaltyn JSC</v>
      </c>
      <c r="S100" s="222" t="str">
        <f t="shared" ca="1" si="12"/>
        <v>KG</v>
      </c>
      <c r="T100" s="222" t="str">
        <f ca="1">IF(B100="","",IF(ISERROR(MATCH($J100,SorP!$B$1:$B$6230,0)),"",INDIRECT("'SorP'!$A$"&amp;MATCH($J100,SorP!$B$1:$B$6230,0))))</f>
        <v>KG-C</v>
      </c>
      <c r="U100" s="238"/>
      <c r="V100" s="270">
        <f ca="1">IF(C100="",NA(),MATCH($B100&amp;$C100,'Smelter Look-up'!$J:$J,0))</f>
        <v>144</v>
      </c>
      <c r="W100" s="271"/>
      <c r="X100" s="271">
        <f t="shared" ca="1" si="13"/>
        <v>0</v>
      </c>
      <c r="Y100" s="271"/>
      <c r="Z100" s="271"/>
      <c r="AB100" s="273" t="str">
        <f t="shared" ca="1" si="14"/>
        <v>GoldKyrgyzaltyn JSC</v>
      </c>
    </row>
    <row r="101" spans="1:28" s="272" customFormat="1" ht="63.75">
      <c r="A101" s="214" t="s">
        <v>698</v>
      </c>
      <c r="B101" s="215" t="str">
        <f ca="1">IF(LEN(A101)=0,"",INDEX('Smelter Look-up'!$A:$A,MATCH($A101,'Smelter Look-up'!$E:$E,0)))</f>
        <v>Gold</v>
      </c>
      <c r="C101" s="219" t="str">
        <f ca="1">IF(LEN(A101)=0,"",INDEX('Smelter Look-up'!$C:$C,MATCH($A101,'Smelter Look-up'!$E:$E,0)))</f>
        <v>L'azurde Company For Jewelry</v>
      </c>
      <c r="D101" s="278"/>
      <c r="E101" s="215" t="str">
        <f ca="1">IF(ISERROR($V101),"",OFFSET('Smelter Look-up'!$D$4,$V101-4,0)&amp;"")</f>
        <v>SAUDI ARABIA</v>
      </c>
      <c r="F101" s="215" t="str">
        <f ca="1">IF(ISERROR($V101),"",OFFSET('Smelter Look-up'!$E$4,$V101-4,0))</f>
        <v>CID001032</v>
      </c>
      <c r="G101" s="215" t="str">
        <f ca="1">IF(C101=$X$4,"Enter smelter details",IF(ISERROR($V101),"",OFFSET('Smelter Look-up'!$F$4,$V101-4,0)))</f>
        <v>RMI</v>
      </c>
      <c r="H101" s="216">
        <f ca="1">IF(ISERROR($V101),"",OFFSET('Smelter Look-up'!$G$4,$V101-4,0))</f>
        <v>0</v>
      </c>
      <c r="I101" s="217" t="str">
        <f ca="1">IF(ISERROR($V101),"",OFFSET('Smelter Look-up'!$H$4,$V101-4,0))</f>
        <v>Riyadh</v>
      </c>
      <c r="J101" s="217" t="str">
        <f ca="1">IF(ISERROR($V101),"",OFFSET('Smelter Look-up'!$I$4,$V101-4,0))</f>
        <v>Ar Riyāḑ</v>
      </c>
      <c r="K101" s="268"/>
      <c r="L101" s="268"/>
      <c r="M101" s="268"/>
      <c r="N101" s="268"/>
      <c r="O101" s="268"/>
      <c r="P101" s="218"/>
      <c r="Q101" s="269"/>
      <c r="R101" s="215" t="str">
        <f ca="1">IF(ISERROR($V101),"",OFFSET('Smelter Look-up'!$C$4,$V101-4,0)&amp;"")</f>
        <v>L'azurde Company For Jewelry</v>
      </c>
      <c r="S101" s="222" t="str">
        <f t="shared" ref="S101:S131" ca="1" si="15">IF(B101="","",IF(ISERROR(MATCH($E101,CL,0)),"Unknown",INDIRECT("'C'!$A$"&amp;MATCH($E101,CL,0)+1)))</f>
        <v>SA</v>
      </c>
      <c r="T101" s="222" t="str">
        <f ca="1">IF(B101="","",IF(ISERROR(MATCH($J101,SorP!$B$1:$B$6230,0)),"",INDIRECT("'SorP'!$A$"&amp;MATCH($J101,SorP!$B$1:$B$6230,0))))</f>
        <v>SA-01</v>
      </c>
      <c r="U101" s="238"/>
      <c r="V101" s="270">
        <f ca="1">IF(C101="",NA(),MATCH($B101&amp;$C101,'Smelter Look-up'!$J:$J,0))</f>
        <v>148</v>
      </c>
      <c r="W101" s="271"/>
      <c r="X101" s="271">
        <f t="shared" ref="X101:X131" ca="1" si="16">IF(AND(C101="Smelter not listed",OR(LEN(D101)=0,LEN(E101)=0)),1,0)</f>
        <v>0</v>
      </c>
      <c r="Y101" s="271"/>
      <c r="Z101" s="271"/>
      <c r="AB101" s="273" t="str">
        <f t="shared" ref="AB101:AB131" ca="1" si="17">B101&amp;C101</f>
        <v>GoldL'azurde Company For Jewelry</v>
      </c>
    </row>
    <row r="102" spans="1:28" s="272" customFormat="1" ht="51">
      <c r="A102" s="214" t="s">
        <v>15408</v>
      </c>
      <c r="B102" s="215" t="str">
        <f ca="1">IF(LEN(A102)=0,"",INDEX('Smelter Look-up'!$A:$A,MATCH($A102,'Smelter Look-up'!$E:$E,0)))</f>
        <v>Tin</v>
      </c>
      <c r="C102" s="219" t="str">
        <f ca="1">IF(LEN(A102)=0,"",INDEX('Smelter Look-up'!$C:$C,MATCH($A102,'Smelter Look-up'!$E:$E,0)))</f>
        <v>PT Timah Nusantara</v>
      </c>
      <c r="D102" s="278"/>
      <c r="E102" s="215" t="str">
        <f ca="1">IF(ISERROR($V102),"",OFFSET('Smelter Look-up'!$D$4,$V102-4,0)&amp;"")</f>
        <v>INDONESIA</v>
      </c>
      <c r="F102" s="215" t="str">
        <f ca="1">IF(ISERROR($V102),"",OFFSET('Smelter Look-up'!$E$4,$V102-4,0))</f>
        <v>CID001486</v>
      </c>
      <c r="G102" s="215" t="str">
        <f ca="1">IF(C102=$X$4,"Enter smelter details",IF(ISERROR($V102),"",OFFSET('Smelter Look-up'!$F$4,$V102-4,0)))</f>
        <v>RMI</v>
      </c>
      <c r="H102" s="216">
        <f ca="1">IF(ISERROR($V102),"",OFFSET('Smelter Look-up'!$G$4,$V102-4,0))</f>
        <v>0</v>
      </c>
      <c r="I102" s="217" t="str">
        <f ca="1">IF(ISERROR($V102),"",OFFSET('Smelter Look-up'!$H$4,$V102-4,0))</f>
        <v>Tempilang</v>
      </c>
      <c r="J102" s="217" t="str">
        <f ca="1">IF(ISERROR($V102),"",OFFSET('Smelter Look-up'!$I$4,$V102-4,0))</f>
        <v>Kepulauan Bangka Belitung</v>
      </c>
      <c r="K102" s="268"/>
      <c r="L102" s="268"/>
      <c r="M102" s="268"/>
      <c r="N102" s="268"/>
      <c r="O102" s="268"/>
      <c r="P102" s="218"/>
      <c r="Q102" s="269"/>
      <c r="R102" s="215" t="str">
        <f ca="1">IF(ISERROR($V102),"",OFFSET('Smelter Look-up'!$C$4,$V102-4,0)&amp;"")</f>
        <v>PT Timah Nusantara</v>
      </c>
      <c r="S102" s="222" t="str">
        <f t="shared" ca="1" si="15"/>
        <v>ID</v>
      </c>
      <c r="T102" s="222" t="str">
        <f ca="1">IF(B102="","",IF(ISERROR(MATCH($J102,SorP!$B$1:$B$6230,0)),"",INDIRECT("'SorP'!$A$"&amp;MATCH($J102,SorP!$B$1:$B$6230,0))))</f>
        <v>ID-BB</v>
      </c>
      <c r="U102" s="238"/>
      <c r="V102" s="270">
        <f ca="1">IF(C102="",NA(),MATCH($B102&amp;$C102,'Smelter Look-up'!$J:$J,0))</f>
        <v>490</v>
      </c>
      <c r="W102" s="271"/>
      <c r="X102" s="271">
        <f t="shared" ca="1" si="16"/>
        <v>0</v>
      </c>
      <c r="Y102" s="271"/>
      <c r="Z102" s="271"/>
      <c r="AB102" s="273" t="str">
        <f t="shared" ca="1" si="17"/>
        <v>TinPT Timah Nusantara</v>
      </c>
    </row>
    <row r="103" spans="1:28" s="272" customFormat="1" ht="38.25">
      <c r="A103" s="214" t="s">
        <v>722</v>
      </c>
      <c r="B103" s="215" t="str">
        <f ca="1">IF(LEN(A103)=0,"",INDEX('Smelter Look-up'!$A:$A,MATCH($A103,'Smelter Look-up'!$E:$E,0)))</f>
        <v>Gold</v>
      </c>
      <c r="C103" s="219" t="str">
        <f ca="1">IF(LEN(A103)=0,"",INDEX('Smelter Look-up'!$C:$C,MATCH($A103,'Smelter Look-up'!$E:$E,0)))</f>
        <v>PX Precinox S.A.</v>
      </c>
      <c r="D103" s="278"/>
      <c r="E103" s="215" t="str">
        <f ca="1">IF(ISERROR($V103),"",OFFSET('Smelter Look-up'!$D$4,$V103-4,0)&amp;"")</f>
        <v>SWITZERLAND</v>
      </c>
      <c r="F103" s="215" t="str">
        <f ca="1">IF(ISERROR($V103),"",OFFSET('Smelter Look-up'!$E$4,$V103-4,0))</f>
        <v>CID001498</v>
      </c>
      <c r="G103" s="215" t="str">
        <f ca="1">IF(C103=$X$4,"Enter smelter details",IF(ISERROR($V103),"",OFFSET('Smelter Look-up'!$F$4,$V103-4,0)))</f>
        <v>RMI</v>
      </c>
      <c r="H103" s="216">
        <f ca="1">IF(ISERROR($V103),"",OFFSET('Smelter Look-up'!$G$4,$V103-4,0))</f>
        <v>0</v>
      </c>
      <c r="I103" s="217" t="str">
        <f ca="1">IF(ISERROR($V103),"",OFFSET('Smelter Look-up'!$H$4,$V103-4,0))</f>
        <v>La Chaux-de-Fonds</v>
      </c>
      <c r="J103" s="217" t="str">
        <f ca="1">IF(ISERROR($V103),"",OFFSET('Smelter Look-up'!$I$4,$V103-4,0))</f>
        <v>Neuchâtel</v>
      </c>
      <c r="K103" s="268"/>
      <c r="L103" s="268"/>
      <c r="M103" s="268"/>
      <c r="N103" s="268"/>
      <c r="O103" s="268"/>
      <c r="P103" s="218"/>
      <c r="Q103" s="269"/>
      <c r="R103" s="215" t="str">
        <f ca="1">IF(ISERROR($V103),"",OFFSET('Smelter Look-up'!$C$4,$V103-4,0)&amp;"")</f>
        <v>PX Precinox S.A.</v>
      </c>
      <c r="S103" s="222" t="str">
        <f t="shared" ca="1" si="15"/>
        <v>CH</v>
      </c>
      <c r="T103" s="222" t="str">
        <f ca="1">IF(B103="","",IF(ISERROR(MATCH($J103,SorP!$B$1:$B$6230,0)),"",INDIRECT("'SorP'!$A$"&amp;MATCH($J103,SorP!$B$1:$B$6230,0))))</f>
        <v>CH-NE</v>
      </c>
      <c r="U103" s="238"/>
      <c r="V103" s="270">
        <f ca="1">IF(C103="",NA(),MATCH($B103&amp;$C103,'Smelter Look-up'!$J:$J,0))</f>
        <v>207</v>
      </c>
      <c r="W103" s="271"/>
      <c r="X103" s="271">
        <f t="shared" ca="1" si="16"/>
        <v>0</v>
      </c>
      <c r="Y103" s="271"/>
      <c r="Z103" s="271"/>
      <c r="AB103" s="273" t="str">
        <f t="shared" ca="1" si="17"/>
        <v>GoldPX Precinox S.A.</v>
      </c>
    </row>
    <row r="104" spans="1:28" s="272" customFormat="1" ht="114.75">
      <c r="A104" s="214" t="s">
        <v>729</v>
      </c>
      <c r="B104" s="215" t="str">
        <f ca="1">IF(LEN(A104)=0,"",INDEX('Smelter Look-up'!$A:$A,MATCH($A104,'Smelter Look-up'!$E:$E,0)))</f>
        <v>Gold</v>
      </c>
      <c r="C104" s="219" t="str">
        <f ca="1">IF(LEN(A104)=0,"",INDEX('Smelter Look-up'!$C:$C,MATCH($A104,'Smelter Look-up'!$E:$E,0)))</f>
        <v>SOE Shyolkovsky Factory of Secondary Precious Metals</v>
      </c>
      <c r="D104" s="278"/>
      <c r="E104" s="215" t="str">
        <f ca="1">IF(ISERROR($V104),"",OFFSET('Smelter Look-up'!$D$4,$V104-4,0)&amp;"")</f>
        <v>RUSSIAN FEDERATION</v>
      </c>
      <c r="F104" s="215" t="str">
        <f ca="1">IF(ISERROR($V104),"",OFFSET('Smelter Look-up'!$E$4,$V104-4,0))</f>
        <v>CID001756</v>
      </c>
      <c r="G104" s="215" t="str">
        <f ca="1">IF(C104=$X$4,"Enter smelter details",IF(ISERROR($V104),"",OFFSET('Smelter Look-up'!$F$4,$V104-4,0)))</f>
        <v>RMI</v>
      </c>
      <c r="H104" s="216">
        <f ca="1">IF(ISERROR($V104),"",OFFSET('Smelter Look-up'!$G$4,$V104-4,0))</f>
        <v>0</v>
      </c>
      <c r="I104" s="217" t="str">
        <f ca="1">IF(ISERROR($V104),"",OFFSET('Smelter Look-up'!$H$4,$V104-4,0))</f>
        <v>Shyolkovo</v>
      </c>
      <c r="J104" s="217" t="str">
        <f ca="1">IF(ISERROR($V104),"",OFFSET('Smelter Look-up'!$I$4,$V104-4,0))</f>
        <v>Moskovskaja oblast'</v>
      </c>
      <c r="K104" s="268"/>
      <c r="L104" s="268"/>
      <c r="M104" s="268"/>
      <c r="N104" s="268"/>
      <c r="O104" s="268"/>
      <c r="P104" s="218"/>
      <c r="Q104" s="269"/>
      <c r="R104" s="215" t="str">
        <f ca="1">IF(ISERROR($V104),"",OFFSET('Smelter Look-up'!$C$4,$V104-4,0)&amp;"")</f>
        <v>SOE Shyolkovsky Factory of Secondary Precious Metals</v>
      </c>
      <c r="S104" s="222" t="str">
        <f t="shared" ca="1" si="15"/>
        <v>RU</v>
      </c>
      <c r="T104" s="222" t="str">
        <f ca="1">IF(B104="","",IF(ISERROR(MATCH($J104,SorP!$B$1:$B$6230,0)),"",INDIRECT("'SorP'!$A$"&amp;MATCH($J104,SorP!$B$1:$B$6230,0))))</f>
        <v>RU-MOS</v>
      </c>
      <c r="U104" s="238"/>
      <c r="V104" s="270">
        <f ca="1">IF(C104="",NA(),MATCH($B104&amp;$C104,'Smelter Look-up'!$J:$J,0))</f>
        <v>251</v>
      </c>
      <c r="W104" s="271"/>
      <c r="X104" s="271">
        <f t="shared" ca="1" si="16"/>
        <v>0</v>
      </c>
      <c r="Y104" s="271"/>
      <c r="Z104" s="271"/>
      <c r="AB104" s="273" t="str">
        <f t="shared" ca="1" si="17"/>
        <v>GoldSOE Shyolkovsky Factory of Secondary Precious Metals</v>
      </c>
    </row>
    <row r="105" spans="1:28" s="272" customFormat="1" ht="38.25">
      <c r="A105" s="214" t="s">
        <v>787</v>
      </c>
      <c r="B105" s="215" t="str">
        <f ca="1">IF(LEN(A105)=0,"",INDEX('Smelter Look-up'!$A:$A,MATCH($A105,'Smelter Look-up'!$E:$E,0)))</f>
        <v>Tin</v>
      </c>
      <c r="C105" s="219" t="str">
        <f ca="1">IF(LEN(A105)=0,"",INDEX('Smelter Look-up'!$C:$C,MATCH($A105,'Smelter Look-up'!$E:$E,0)))</f>
        <v>Soft Metais Ltda.</v>
      </c>
      <c r="D105" s="278"/>
      <c r="E105" s="215" t="str">
        <f ca="1">IF(ISERROR($V105),"",OFFSET('Smelter Look-up'!$D$4,$V105-4,0)&amp;"")</f>
        <v>BRAZIL</v>
      </c>
      <c r="F105" s="215" t="str">
        <f ca="1">IF(ISERROR($V105),"",OFFSET('Smelter Look-up'!$E$4,$V105-4,0))</f>
        <v>CID001758</v>
      </c>
      <c r="G105" s="215" t="str">
        <f ca="1">IF(C105=$X$4,"Enter smelter details",IF(ISERROR($V105),"",OFFSET('Smelter Look-up'!$F$4,$V105-4,0)))</f>
        <v>RMI</v>
      </c>
      <c r="H105" s="216">
        <f ca="1">IF(ISERROR($V105),"",OFFSET('Smelter Look-up'!$G$4,$V105-4,0))</f>
        <v>0</v>
      </c>
      <c r="I105" s="217" t="str">
        <f ca="1">IF(ISERROR($V105),"",OFFSET('Smelter Look-up'!$H$4,$V105-4,0))</f>
        <v>Bebedouro</v>
      </c>
      <c r="J105" s="217" t="str">
        <f ca="1">IF(ISERROR($V105),"",OFFSET('Smelter Look-up'!$I$4,$V105-4,0))</f>
        <v>São Paulo</v>
      </c>
      <c r="K105" s="268"/>
      <c r="L105" s="268"/>
      <c r="M105" s="268"/>
      <c r="N105" s="268"/>
      <c r="O105" s="268"/>
      <c r="P105" s="218"/>
      <c r="Q105" s="269"/>
      <c r="R105" s="215" t="str">
        <f ca="1">IF(ISERROR($V105),"",OFFSET('Smelter Look-up'!$C$4,$V105-4,0)&amp;"")</f>
        <v>Soft Metais Ltda.</v>
      </c>
      <c r="S105" s="222" t="str">
        <f t="shared" ca="1" si="15"/>
        <v>BR</v>
      </c>
      <c r="T105" s="222" t="str">
        <f ca="1">IF(B105="","",IF(ISERROR(MATCH($J105,SorP!$B$1:$B$6230,0)),"",INDIRECT("'SorP'!$A$"&amp;MATCH($J105,SorP!$B$1:$B$6230,0))))</f>
        <v>BR-SP</v>
      </c>
      <c r="U105" s="238"/>
      <c r="V105" s="270">
        <f ca="1">IF(C105="",NA(),MATCH($B105&amp;$C105,'Smelter Look-up'!$J:$J,0))</f>
        <v>499</v>
      </c>
      <c r="W105" s="271"/>
      <c r="X105" s="271">
        <f t="shared" ca="1" si="16"/>
        <v>0</v>
      </c>
      <c r="Y105" s="271"/>
      <c r="Z105" s="271"/>
      <c r="AB105" s="273" t="str">
        <f t="shared" ca="1" si="17"/>
        <v>TinSoft Metais Ltda.</v>
      </c>
    </row>
    <row r="106" spans="1:28" s="272" customFormat="1" ht="102">
      <c r="A106" s="214" t="s">
        <v>730</v>
      </c>
      <c r="B106" s="215" t="str">
        <f ca="1">IF(LEN(A106)=0,"",INDEX('Smelter Look-up'!$A:$A,MATCH($A106,'Smelter Look-up'!$E:$E,0)))</f>
        <v>Gold</v>
      </c>
      <c r="C106" s="219" t="str">
        <f ca="1">IF(LEN(A106)=0,"",INDEX('Smelter Look-up'!$C:$C,MATCH($A106,'Smelter Look-up'!$E:$E,0)))</f>
        <v>Solar Applied Materials Technology Corp.</v>
      </c>
      <c r="D106" s="278"/>
      <c r="E106" s="215" t="str">
        <f ca="1">IF(ISERROR($V106),"",OFFSET('Smelter Look-up'!$D$4,$V106-4,0)&amp;"")</f>
        <v>TAIWAN, PROVINCE OF CHINA</v>
      </c>
      <c r="F106" s="215" t="str">
        <f ca="1">IF(ISERROR($V106),"",OFFSET('Smelter Look-up'!$E$4,$V106-4,0))</f>
        <v>CID001761</v>
      </c>
      <c r="G106" s="215" t="str">
        <f ca="1">IF(C106=$X$4,"Enter smelter details",IF(ISERROR($V106),"",OFFSET('Smelter Look-up'!$F$4,$V106-4,0)))</f>
        <v>RMI</v>
      </c>
      <c r="H106" s="216">
        <f ca="1">IF(ISERROR($V106),"",OFFSET('Smelter Look-up'!$G$4,$V106-4,0))</f>
        <v>0</v>
      </c>
      <c r="I106" s="217" t="str">
        <f ca="1">IF(ISERROR($V106),"",OFFSET('Smelter Look-up'!$H$4,$V106-4,0))</f>
        <v>Tainan City</v>
      </c>
      <c r="J106" s="217" t="str">
        <f ca="1">IF(ISERROR($V106),"",OFFSET('Smelter Look-up'!$I$4,$V106-4,0))</f>
        <v>Tainan</v>
      </c>
      <c r="K106" s="268"/>
      <c r="L106" s="268"/>
      <c r="M106" s="268"/>
      <c r="N106" s="268"/>
      <c r="O106" s="268"/>
      <c r="P106" s="218"/>
      <c r="Q106" s="269"/>
      <c r="R106" s="215" t="str">
        <f ca="1">IF(ISERROR($V106),"",OFFSET('Smelter Look-up'!$C$4,$V106-4,0)&amp;"")</f>
        <v>Solar Applied Materials Technology Corp.</v>
      </c>
      <c r="S106" s="222" t="str">
        <f t="shared" ca="1" si="15"/>
        <v>TW</v>
      </c>
      <c r="T106" s="222" t="str">
        <f ca="1">IF(B106="","",IF(ISERROR(MATCH($J106,SorP!$B$1:$B$6230,0)),"",INDIRECT("'SorP'!$A$"&amp;MATCH($J106,SorP!$B$1:$B$6230,0))))</f>
        <v>TW-TNN</v>
      </c>
      <c r="U106" s="238"/>
      <c r="V106" s="270">
        <f ca="1">IF(C106="",NA(),MATCH($B106&amp;$C106,'Smelter Look-up'!$J:$J,0))</f>
        <v>252</v>
      </c>
      <c r="W106" s="271"/>
      <c r="X106" s="271">
        <f t="shared" ca="1" si="16"/>
        <v>0</v>
      </c>
      <c r="Y106" s="271"/>
      <c r="Z106" s="271"/>
      <c r="AB106" s="273" t="str">
        <f t="shared" ca="1" si="17"/>
        <v>GoldSolar Applied Materials Technology Corp.</v>
      </c>
    </row>
    <row r="107" spans="1:28" s="272" customFormat="1" ht="63.75">
      <c r="A107" s="214" t="s">
        <v>695</v>
      </c>
      <c r="B107" s="215" t="str">
        <f ca="1">IF(LEN(A107)=0,"",INDEX('Smelter Look-up'!$A:$A,MATCH($A107,'Smelter Look-up'!$E:$E,0)))</f>
        <v>Gold</v>
      </c>
      <c r="C107" s="219" t="str">
        <f ca="1">IF(LEN(A107)=0,"",INDEX('Smelter Look-up'!$C:$C,MATCH($A107,'Smelter Look-up'!$E:$E,0)))</f>
        <v>Kennecott Utah Copper LLC</v>
      </c>
      <c r="D107" s="278"/>
      <c r="E107" s="215" t="str">
        <f ca="1">IF(ISERROR($V107),"",OFFSET('Smelter Look-up'!$D$4,$V107-4,0)&amp;"")</f>
        <v>UNITED STATES OF AMERICA</v>
      </c>
      <c r="F107" s="215" t="str">
        <f ca="1">IF(ISERROR($V107),"",OFFSET('Smelter Look-up'!$E$4,$V107-4,0))</f>
        <v>CID000969</v>
      </c>
      <c r="G107" s="215" t="str">
        <f ca="1">IF(C107=$X$4,"Enter smelter details",IF(ISERROR($V107),"",OFFSET('Smelter Look-up'!$F$4,$V107-4,0)))</f>
        <v>RMI</v>
      </c>
      <c r="H107" s="216">
        <f ca="1">IF(ISERROR($V107),"",OFFSET('Smelter Look-up'!$G$4,$V107-4,0))</f>
        <v>0</v>
      </c>
      <c r="I107" s="217" t="str">
        <f ca="1">IF(ISERROR($V107),"",OFFSET('Smelter Look-up'!$H$4,$V107-4,0))</f>
        <v>Magna</v>
      </c>
      <c r="J107" s="217" t="str">
        <f ca="1">IF(ISERROR($V107),"",OFFSET('Smelter Look-up'!$I$4,$V107-4,0))</f>
        <v>Utah</v>
      </c>
      <c r="K107" s="268"/>
      <c r="L107" s="268"/>
      <c r="M107" s="268"/>
      <c r="N107" s="268"/>
      <c r="O107" s="268"/>
      <c r="P107" s="218"/>
      <c r="Q107" s="269"/>
      <c r="R107" s="215" t="str">
        <f ca="1">IF(ISERROR($V107),"",OFFSET('Smelter Look-up'!$C$4,$V107-4,0)&amp;"")</f>
        <v>Kennecott Utah Copper LLC</v>
      </c>
      <c r="S107" s="222" t="str">
        <f t="shared" ca="1" si="15"/>
        <v>US</v>
      </c>
      <c r="T107" s="222" t="str">
        <f ca="1">IF(B107="","",IF(ISERROR(MATCH($J107,SorP!$B$1:$B$6230,0)),"",INDIRECT("'SorP'!$A$"&amp;MATCH($J107,SorP!$B$1:$B$6230,0))))</f>
        <v>US-UT</v>
      </c>
      <c r="U107" s="238"/>
      <c r="V107" s="270">
        <f ca="1">IF(C107="",NA(),MATCH($B107&amp;$C107,'Smelter Look-up'!$J:$J,0))</f>
        <v>133</v>
      </c>
      <c r="W107" s="271"/>
      <c r="X107" s="271">
        <f t="shared" ca="1" si="16"/>
        <v>0</v>
      </c>
      <c r="Y107" s="271"/>
      <c r="Z107" s="271"/>
      <c r="AB107" s="273" t="str">
        <f t="shared" ca="1" si="17"/>
        <v>GoldKennecott Utah Copper LLC</v>
      </c>
    </row>
    <row r="108" spans="1:28" s="272" customFormat="1" ht="63.75">
      <c r="A108" s="214" t="s">
        <v>696</v>
      </c>
      <c r="B108" s="215" t="str">
        <f ca="1">IF(LEN(A108)=0,"",INDEX('Smelter Look-up'!$A:$A,MATCH($A108,'Smelter Look-up'!$E:$E,0)))</f>
        <v>Gold</v>
      </c>
      <c r="C108" s="219" t="str">
        <f ca="1">IF(LEN(A108)=0,"",INDEX('Smelter Look-up'!$C:$C,MATCH($A108,'Smelter Look-up'!$E:$E,0)))</f>
        <v>Kojima Chemicals Co., Ltd.</v>
      </c>
      <c r="D108" s="278"/>
      <c r="E108" s="215" t="str">
        <f ca="1">IF(ISERROR($V108),"",OFFSET('Smelter Look-up'!$D$4,$V108-4,0)&amp;"")</f>
        <v>JAPAN</v>
      </c>
      <c r="F108" s="215" t="str">
        <f ca="1">IF(ISERROR($V108),"",OFFSET('Smelter Look-up'!$E$4,$V108-4,0))</f>
        <v>CID000981</v>
      </c>
      <c r="G108" s="215" t="str">
        <f ca="1">IF(C108=$X$4,"Enter smelter details",IF(ISERROR($V108),"",OFFSET('Smelter Look-up'!$F$4,$V108-4,0)))</f>
        <v>RMI</v>
      </c>
      <c r="H108" s="216">
        <f ca="1">IF(ISERROR($V108),"",OFFSET('Smelter Look-up'!$G$4,$V108-4,0))</f>
        <v>0</v>
      </c>
      <c r="I108" s="217" t="str">
        <f ca="1">IF(ISERROR($V108),"",OFFSET('Smelter Look-up'!$H$4,$V108-4,0))</f>
        <v>Sayama</v>
      </c>
      <c r="J108" s="217" t="str">
        <f ca="1">IF(ISERROR($V108),"",OFFSET('Smelter Look-up'!$I$4,$V108-4,0))</f>
        <v>Saitama</v>
      </c>
      <c r="K108" s="268"/>
      <c r="L108" s="268"/>
      <c r="M108" s="268"/>
      <c r="N108" s="268"/>
      <c r="O108" s="268"/>
      <c r="P108" s="218"/>
      <c r="Q108" s="269"/>
      <c r="R108" s="215" t="str">
        <f ca="1">IF(ISERROR($V108),"",OFFSET('Smelter Look-up'!$C$4,$V108-4,0)&amp;"")</f>
        <v>Kojima Chemicals Co., Ltd.</v>
      </c>
      <c r="S108" s="222" t="str">
        <f t="shared" ca="1" si="15"/>
        <v>JP</v>
      </c>
      <c r="T108" s="222" t="str">
        <f ca="1">IF(B108="","",IF(ISERROR(MATCH($J108,SorP!$B$1:$B$6230,0)),"",INDIRECT("'SorP'!$A$"&amp;MATCH($J108,SorP!$B$1:$B$6230,0))))</f>
        <v>JP-11</v>
      </c>
      <c r="U108" s="238"/>
      <c r="V108" s="270">
        <f ca="1">IF(C108="",NA(),MATCH($B108&amp;$C108,'Smelter Look-up'!$J:$J,0))</f>
        <v>137</v>
      </c>
      <c r="W108" s="271"/>
      <c r="X108" s="271">
        <f t="shared" ca="1" si="16"/>
        <v>0</v>
      </c>
      <c r="Y108" s="271"/>
      <c r="Z108" s="271"/>
      <c r="AB108" s="273" t="str">
        <f t="shared" ca="1" si="17"/>
        <v>GoldKojima Chemicals Co., Ltd.</v>
      </c>
    </row>
    <row r="109" spans="1:28" s="272" customFormat="1" ht="76.5">
      <c r="A109" s="214" t="s">
        <v>713</v>
      </c>
      <c r="B109" s="215" t="str">
        <f ca="1">IF(LEN(A109)=0,"",INDEX('Smelter Look-up'!$A:$A,MATCH($A109,'Smelter Look-up'!$E:$E,0)))</f>
        <v>Gold</v>
      </c>
      <c r="C109" s="219" t="str">
        <f ca="1">IF(LEN(A109)=0,"",INDEX('Smelter Look-up'!$C:$C,MATCH($A109,'Smelter Look-up'!$E:$E,0)))</f>
        <v>Nadir Metal Rafineri San. Ve Tic. A.S.</v>
      </c>
      <c r="D109" s="278"/>
      <c r="E109" s="215" t="str">
        <f ca="1">IF(ISERROR($V109),"",OFFSET('Smelter Look-up'!$D$4,$V109-4,0)&amp;"")</f>
        <v>TURKEY</v>
      </c>
      <c r="F109" s="215" t="str">
        <f ca="1">IF(ISERROR($V109),"",OFFSET('Smelter Look-up'!$E$4,$V109-4,0))</f>
        <v>CID001220</v>
      </c>
      <c r="G109" s="215" t="str">
        <f ca="1">IF(C109=$X$4,"Enter smelter details",IF(ISERROR($V109),"",OFFSET('Smelter Look-up'!$F$4,$V109-4,0)))</f>
        <v>RMI</v>
      </c>
      <c r="H109" s="216">
        <f ca="1">IF(ISERROR($V109),"",OFFSET('Smelter Look-up'!$G$4,$V109-4,0))</f>
        <v>0</v>
      </c>
      <c r="I109" s="217" t="str">
        <f ca="1">IF(ISERROR($V109),"",OFFSET('Smelter Look-up'!$H$4,$V109-4,0))</f>
        <v>Bahçelievler</v>
      </c>
      <c r="J109" s="217" t="str">
        <f ca="1">IF(ISERROR($V109),"",OFFSET('Smelter Look-up'!$I$4,$V109-4,0))</f>
        <v>İstanbul</v>
      </c>
      <c r="K109" s="268"/>
      <c r="L109" s="268"/>
      <c r="M109" s="268"/>
      <c r="N109" s="268"/>
      <c r="O109" s="268"/>
      <c r="P109" s="218"/>
      <c r="Q109" s="269"/>
      <c r="R109" s="215" t="str">
        <f ca="1">IF(ISERROR($V109),"",OFFSET('Smelter Look-up'!$C$4,$V109-4,0)&amp;"")</f>
        <v>Nadir Metal Rafineri San. Ve Tic. A.S.</v>
      </c>
      <c r="S109" s="222" t="str">
        <f t="shared" ca="1" si="15"/>
        <v>TR</v>
      </c>
      <c r="T109" s="222" t="str">
        <f ca="1">IF(B109="","",IF(ISERROR(MATCH($J109,SorP!$B$1:$B$6230,0)),"",INDIRECT("'SorP'!$A$"&amp;MATCH($J109,SorP!$B$1:$B$6230,0))))</f>
        <v>TR-34</v>
      </c>
      <c r="U109" s="238"/>
      <c r="V109" s="270">
        <f ca="1">IF(C109="",NA(),MATCH($B109&amp;$C109,'Smelter Look-up'!$J:$J,0))</f>
        <v>184</v>
      </c>
      <c r="W109" s="271"/>
      <c r="X109" s="271">
        <f t="shared" ca="1" si="16"/>
        <v>0</v>
      </c>
      <c r="Y109" s="271"/>
      <c r="Z109" s="271"/>
      <c r="AB109" s="273" t="str">
        <f t="shared" ca="1" si="17"/>
        <v>GoldNadir Metal Rafineri San. Ve Tic. A.S.</v>
      </c>
    </row>
    <row r="110" spans="1:28" s="272" customFormat="1" ht="63.75">
      <c r="A110" s="214" t="s">
        <v>723</v>
      </c>
      <c r="B110" s="215" t="str">
        <f ca="1">IF(LEN(A110)=0,"",INDEX('Smelter Look-up'!$A:$A,MATCH($A110,'Smelter Look-up'!$E:$E,0)))</f>
        <v>Gold</v>
      </c>
      <c r="C110" s="219" t="str">
        <f ca="1">IF(LEN(A110)=0,"",INDEX('Smelter Look-up'!$C:$C,MATCH($A110,'Smelter Look-up'!$E:$E,0)))</f>
        <v>Rand Refinery (Pty) Ltd.</v>
      </c>
      <c r="D110" s="278"/>
      <c r="E110" s="215" t="str">
        <f ca="1">IF(ISERROR($V110),"",OFFSET('Smelter Look-up'!$D$4,$V110-4,0)&amp;"")</f>
        <v>SOUTH AFRICA</v>
      </c>
      <c r="F110" s="215" t="str">
        <f ca="1">IF(ISERROR($V110),"",OFFSET('Smelter Look-up'!$E$4,$V110-4,0))</f>
        <v>CID001512</v>
      </c>
      <c r="G110" s="215" t="str">
        <f ca="1">IF(C110=$X$4,"Enter smelter details",IF(ISERROR($V110),"",OFFSET('Smelter Look-up'!$F$4,$V110-4,0)))</f>
        <v>RMI</v>
      </c>
      <c r="H110" s="216">
        <f ca="1">IF(ISERROR($V110),"",OFFSET('Smelter Look-up'!$G$4,$V110-4,0))</f>
        <v>0</v>
      </c>
      <c r="I110" s="217" t="str">
        <f ca="1">IF(ISERROR($V110),"",OFFSET('Smelter Look-up'!$H$4,$V110-4,0))</f>
        <v>Germiston</v>
      </c>
      <c r="J110" s="217" t="str">
        <f ca="1">IF(ISERROR($V110),"",OFFSET('Smelter Look-up'!$I$4,$V110-4,0))</f>
        <v>Gauteng</v>
      </c>
      <c r="K110" s="268"/>
      <c r="L110" s="268"/>
      <c r="M110" s="268"/>
      <c r="N110" s="268"/>
      <c r="O110" s="268"/>
      <c r="P110" s="218"/>
      <c r="Q110" s="269"/>
      <c r="R110" s="215" t="str">
        <f ca="1">IF(ISERROR($V110),"",OFFSET('Smelter Look-up'!$C$4,$V110-4,0)&amp;"")</f>
        <v>Rand Refinery (Pty) Ltd.</v>
      </c>
      <c r="S110" s="222" t="str">
        <f t="shared" ca="1" si="15"/>
        <v>ZA</v>
      </c>
      <c r="T110" s="222" t="str">
        <f ca="1">IF(B110="","",IF(ISERROR(MATCH($J110,SorP!$B$1:$B$6230,0)),"",INDIRECT("'SorP'!$A$"&amp;MATCH($J110,SorP!$B$1:$B$6230,0))))</f>
        <v>ZA-GT</v>
      </c>
      <c r="U110" s="238"/>
      <c r="V110" s="270">
        <f ca="1">IF(C110="",NA(),MATCH($B110&amp;$C110,'Smelter Look-up'!$J:$J,0))</f>
        <v>210</v>
      </c>
      <c r="W110" s="271"/>
      <c r="X110" s="271">
        <f t="shared" ca="1" si="16"/>
        <v>0</v>
      </c>
      <c r="Y110" s="271"/>
      <c r="Z110" s="271"/>
      <c r="AB110" s="273" t="str">
        <f t="shared" ca="1" si="17"/>
        <v>GoldRand Refinery (Pty) Ltd.</v>
      </c>
    </row>
    <row r="111" spans="1:28" s="272" customFormat="1" ht="76.5">
      <c r="A111" s="214" t="s">
        <v>679</v>
      </c>
      <c r="B111" s="215" t="str">
        <f ca="1">IF(LEN(A111)=0,"",INDEX('Smelter Look-up'!$A:$A,MATCH($A111,'Smelter Look-up'!$E:$E,0)))</f>
        <v>Gold</v>
      </c>
      <c r="C111" s="219" t="str">
        <f ca="1">IF(LEN(A111)=0,"",INDEX('Smelter Look-up'!$C:$C,MATCH($A111,'Smelter Look-up'!$E:$E,0)))</f>
        <v>Heraeus Metals Hong Kong Ltd.</v>
      </c>
      <c r="D111" s="278"/>
      <c r="E111" s="215" t="str">
        <f ca="1">IF(ISERROR($V111),"",OFFSET('Smelter Look-up'!$D$4,$V111-4,0)&amp;"")</f>
        <v>CHINA</v>
      </c>
      <c r="F111" s="215" t="str">
        <f ca="1">IF(ISERROR($V111),"",OFFSET('Smelter Look-up'!$E$4,$V111-4,0))</f>
        <v>CID000707</v>
      </c>
      <c r="G111" s="215" t="str">
        <f ca="1">IF(C111=$X$4,"Enter smelter details",IF(ISERROR($V111),"",OFFSET('Smelter Look-up'!$F$4,$V111-4,0)))</f>
        <v>RMI</v>
      </c>
      <c r="H111" s="216">
        <f ca="1">IF(ISERROR($V111),"",OFFSET('Smelter Look-up'!$G$4,$V111-4,0))</f>
        <v>0</v>
      </c>
      <c r="I111" s="217" t="str">
        <f ca="1">IF(ISERROR($V111),"",OFFSET('Smelter Look-up'!$H$4,$V111-4,0))</f>
        <v>Fanling</v>
      </c>
      <c r="J111" s="217" t="str">
        <f ca="1">IF(ISERROR($V111),"",OFFSET('Smelter Look-up'!$I$4,$V111-4,0))</f>
        <v>Hong Kong SAR</v>
      </c>
      <c r="K111" s="268"/>
      <c r="L111" s="268"/>
      <c r="M111" s="268"/>
      <c r="N111" s="268"/>
      <c r="O111" s="268"/>
      <c r="P111" s="218"/>
      <c r="Q111" s="269"/>
      <c r="R111" s="215" t="str">
        <f ca="1">IF(ISERROR($V111),"",OFFSET('Smelter Look-up'!$C$4,$V111-4,0)&amp;"")</f>
        <v>Heraeus Metals Hong Kong Ltd.</v>
      </c>
      <c r="S111" s="222" t="str">
        <f t="shared" ca="1" si="15"/>
        <v>CN</v>
      </c>
      <c r="T111" s="222" t="str">
        <f ca="1">IF(B111="","",IF(ISERROR(MATCH($J111,SorP!$B$1:$B$6230,0)),"",INDIRECT("'SorP'!$A$"&amp;MATCH($J111,SorP!$B$1:$B$6230,0))))</f>
        <v>CN-HK</v>
      </c>
      <c r="U111" s="238"/>
      <c r="V111" s="270">
        <f ca="1">IF(C111="",NA(),MATCH($B111&amp;$C111,'Smelter Look-up'!$J:$J,0))</f>
        <v>103</v>
      </c>
      <c r="W111" s="271"/>
      <c r="X111" s="271">
        <f t="shared" ca="1" si="16"/>
        <v>0</v>
      </c>
      <c r="Y111" s="271"/>
      <c r="Z111" s="271"/>
      <c r="AB111" s="273" t="str">
        <f t="shared" ca="1" si="17"/>
        <v>GoldHeraeus Metals Hong Kong Ltd.</v>
      </c>
    </row>
    <row r="112" spans="1:28" s="272" customFormat="1" ht="63.75">
      <c r="A112" s="214" t="s">
        <v>680</v>
      </c>
      <c r="B112" s="215" t="str">
        <f ca="1">IF(LEN(A112)=0,"",INDEX('Smelter Look-up'!$A:$A,MATCH($A112,'Smelter Look-up'!$E:$E,0)))</f>
        <v>Gold</v>
      </c>
      <c r="C112" s="219" t="str">
        <f ca="1">IF(LEN(A112)=0,"",INDEX('Smelter Look-up'!$C:$C,MATCH($A112,'Smelter Look-up'!$E:$E,0)))</f>
        <v>Heraeus Germany GmbH Co. KG</v>
      </c>
      <c r="D112" s="278"/>
      <c r="E112" s="215" t="str">
        <f ca="1">IF(ISERROR($V112),"",OFFSET('Smelter Look-up'!$D$4,$V112-4,0)&amp;"")</f>
        <v>GERMANY</v>
      </c>
      <c r="F112" s="215" t="str">
        <f ca="1">IF(ISERROR($V112),"",OFFSET('Smelter Look-up'!$E$4,$V112-4,0))</f>
        <v>CID000711</v>
      </c>
      <c r="G112" s="215" t="str">
        <f ca="1">IF(C112=$X$4,"Enter smelter details",IF(ISERROR($V112),"",OFFSET('Smelter Look-up'!$F$4,$V112-4,0)))</f>
        <v>RMI</v>
      </c>
      <c r="H112" s="216">
        <f ca="1">IF(ISERROR($V112),"",OFFSET('Smelter Look-up'!$G$4,$V112-4,0))</f>
        <v>0</v>
      </c>
      <c r="I112" s="217" t="str">
        <f ca="1">IF(ISERROR($V112),"",OFFSET('Smelter Look-up'!$H$4,$V112-4,0))</f>
        <v>Hanau</v>
      </c>
      <c r="J112" s="217" t="str">
        <f ca="1">IF(ISERROR($V112),"",OFFSET('Smelter Look-up'!$I$4,$V112-4,0))</f>
        <v>Hessen</v>
      </c>
      <c r="K112" s="268"/>
      <c r="L112" s="268"/>
      <c r="M112" s="268"/>
      <c r="N112" s="268"/>
      <c r="O112" s="268"/>
      <c r="P112" s="218"/>
      <c r="Q112" s="269"/>
      <c r="R112" s="215" t="str">
        <f ca="1">IF(ISERROR($V112),"",OFFSET('Smelter Look-up'!$C$4,$V112-4,0)&amp;"")</f>
        <v>Heraeus Germany GmbH Co. KG</v>
      </c>
      <c r="S112" s="222" t="str">
        <f t="shared" ca="1" si="15"/>
        <v>DE</v>
      </c>
      <c r="T112" s="222" t="str">
        <f ca="1">IF(B112="","",IF(ISERROR(MATCH($J112,SorP!$B$1:$B$6230,0)),"",INDIRECT("'SorP'!$A$"&amp;MATCH($J112,SorP!$B$1:$B$6230,0))))</f>
        <v>DE-HE</v>
      </c>
      <c r="U112" s="238"/>
      <c r="V112" s="270">
        <f ca="1">IF(C112="",NA(),MATCH($B112&amp;$C112,'Smelter Look-up'!$J:$J,0))</f>
        <v>101</v>
      </c>
      <c r="W112" s="271"/>
      <c r="X112" s="271">
        <f t="shared" ca="1" si="16"/>
        <v>0</v>
      </c>
      <c r="Y112" s="271"/>
      <c r="Z112" s="271"/>
      <c r="AB112" s="273" t="str">
        <f t="shared" ca="1" si="17"/>
        <v>GoldHeraeus Germany GmbH Co. KG</v>
      </c>
    </row>
    <row r="113" spans="1:28" s="272" customFormat="1" ht="51">
      <c r="A113" s="214" t="s">
        <v>682</v>
      </c>
      <c r="B113" s="215" t="str">
        <f ca="1">IF(LEN(A113)=0,"",INDEX('Smelter Look-up'!$A:$A,MATCH($A113,'Smelter Look-up'!$E:$E,0)))</f>
        <v>Gold</v>
      </c>
      <c r="C113" s="219" t="str">
        <f ca="1">IF(LEN(A113)=0,"",INDEX('Smelter Look-up'!$C:$C,MATCH($A113,'Smelter Look-up'!$E:$E,0)))</f>
        <v>HwaSeong CJ CO., LTD.</v>
      </c>
      <c r="D113" s="278"/>
      <c r="E113" s="215" t="str">
        <f ca="1">IF(ISERROR($V113),"",OFFSET('Smelter Look-up'!$D$4,$V113-4,0)&amp;"")</f>
        <v>KOREA, REPUBLIC OF</v>
      </c>
      <c r="F113" s="215" t="str">
        <f ca="1">IF(ISERROR($V113),"",OFFSET('Smelter Look-up'!$E$4,$V113-4,0))</f>
        <v>CID000778</v>
      </c>
      <c r="G113" s="215" t="str">
        <f ca="1">IF(C113=$X$4,"Enter smelter details",IF(ISERROR($V113),"",OFFSET('Smelter Look-up'!$F$4,$V113-4,0)))</f>
        <v>RMI</v>
      </c>
      <c r="H113" s="216">
        <f ca="1">IF(ISERROR($V113),"",OFFSET('Smelter Look-up'!$G$4,$V113-4,0))</f>
        <v>0</v>
      </c>
      <c r="I113" s="217" t="str">
        <f ca="1">IF(ISERROR($V113),"",OFFSET('Smelter Look-up'!$H$4,$V113-4,0))</f>
        <v>Danwon</v>
      </c>
      <c r="J113" s="217" t="str">
        <f ca="1">IF(ISERROR($V113),"",OFFSET('Smelter Look-up'!$I$4,$V113-4,0))</f>
        <v>Gyeonggi-do</v>
      </c>
      <c r="K113" s="268"/>
      <c r="L113" s="268"/>
      <c r="M113" s="268"/>
      <c r="N113" s="268"/>
      <c r="O113" s="268"/>
      <c r="P113" s="218"/>
      <c r="Q113" s="269"/>
      <c r="R113" s="215" t="str">
        <f ca="1">IF(ISERROR($V113),"",OFFSET('Smelter Look-up'!$C$4,$V113-4,0)&amp;"")</f>
        <v>HwaSeong CJ CO., LTD.</v>
      </c>
      <c r="S113" s="222" t="str">
        <f t="shared" ca="1" si="15"/>
        <v>KR</v>
      </c>
      <c r="T113" s="222" t="str">
        <f ca="1">IF(B113="","",IF(ISERROR(MATCH($J113,SorP!$B$1:$B$6230,0)),"",INDIRECT("'SorP'!$A$"&amp;MATCH($J113,SorP!$B$1:$B$6230,0))))</f>
        <v>KR-41</v>
      </c>
      <c r="U113" s="238"/>
      <c r="V113" s="270">
        <f ca="1">IF(C113="",NA(),MATCH($B113&amp;$C113,'Smelter Look-up'!$J:$J,0))</f>
        <v>110</v>
      </c>
      <c r="W113" s="271"/>
      <c r="X113" s="271">
        <f t="shared" ca="1" si="16"/>
        <v>0</v>
      </c>
      <c r="Y113" s="271"/>
      <c r="Z113" s="271"/>
      <c r="AB113" s="273" t="str">
        <f t="shared" ca="1" si="17"/>
        <v>GoldHwaSeong CJ CO., LTD.</v>
      </c>
    </row>
    <row r="114" spans="1:28" s="272" customFormat="1" ht="63.75">
      <c r="A114" s="214" t="s">
        <v>715</v>
      </c>
      <c r="B114" s="215" t="str">
        <f ca="1">IF(LEN(A114)=0,"",INDEX('Smelter Look-up'!$A:$A,MATCH($A114,'Smelter Look-up'!$E:$E,0)))</f>
        <v>Gold</v>
      </c>
      <c r="C114" s="219" t="str">
        <f ca="1">IF(LEN(A114)=0,"",INDEX('Smelter Look-up'!$C:$C,MATCH($A114,'Smelter Look-up'!$E:$E,0)))</f>
        <v>Nihon Material Co., Ltd.</v>
      </c>
      <c r="D114" s="278"/>
      <c r="E114" s="215" t="str">
        <f ca="1">IF(ISERROR($V114),"",OFFSET('Smelter Look-up'!$D$4,$V114-4,0)&amp;"")</f>
        <v>JAPAN</v>
      </c>
      <c r="F114" s="215" t="str">
        <f ca="1">IF(ISERROR($V114),"",OFFSET('Smelter Look-up'!$E$4,$V114-4,0))</f>
        <v>CID001259</v>
      </c>
      <c r="G114" s="215" t="str">
        <f ca="1">IF(C114=$X$4,"Enter smelter details",IF(ISERROR($V114),"",OFFSET('Smelter Look-up'!$F$4,$V114-4,0)))</f>
        <v>RMI</v>
      </c>
      <c r="H114" s="216">
        <f ca="1">IF(ISERROR($V114),"",OFFSET('Smelter Look-up'!$G$4,$V114-4,0))</f>
        <v>0</v>
      </c>
      <c r="I114" s="217" t="str">
        <f ca="1">IF(ISERROR($V114),"",OFFSET('Smelter Look-up'!$H$4,$V114-4,0))</f>
        <v>Noda</v>
      </c>
      <c r="J114" s="217" t="str">
        <f ca="1">IF(ISERROR($V114),"",OFFSET('Smelter Look-up'!$I$4,$V114-4,0))</f>
        <v>Chiba</v>
      </c>
      <c r="K114" s="268"/>
      <c r="L114" s="268"/>
      <c r="M114" s="268"/>
      <c r="N114" s="268"/>
      <c r="O114" s="268"/>
      <c r="P114" s="218"/>
      <c r="Q114" s="269"/>
      <c r="R114" s="215" t="str">
        <f ca="1">IF(ISERROR($V114),"",OFFSET('Smelter Look-up'!$C$4,$V114-4,0)&amp;"")</f>
        <v>Nihon Material Co., Ltd.</v>
      </c>
      <c r="S114" s="222" t="str">
        <f t="shared" ca="1" si="15"/>
        <v>JP</v>
      </c>
      <c r="T114" s="222" t="str">
        <f ca="1">IF(B114="","",IF(ISERROR(MATCH($J114,SorP!$B$1:$B$6230,0)),"",INDIRECT("'SorP'!$A$"&amp;MATCH($J114,SorP!$B$1:$B$6230,0))))</f>
        <v>JP-12</v>
      </c>
      <c r="U114" s="238"/>
      <c r="V114" s="270">
        <f ca="1">IF(C114="",NA(),MATCH($B114&amp;$C114,'Smelter Look-up'!$J:$J,0))</f>
        <v>188</v>
      </c>
      <c r="W114" s="271"/>
      <c r="X114" s="271">
        <f t="shared" ca="1" si="16"/>
        <v>0</v>
      </c>
      <c r="Y114" s="271"/>
      <c r="Z114" s="271"/>
      <c r="AB114" s="273" t="str">
        <f t="shared" ca="1" si="17"/>
        <v>GoldNihon Material Co., Ltd.</v>
      </c>
    </row>
    <row r="115" spans="1:28" s="272" customFormat="1" ht="51">
      <c r="A115" s="214" t="s">
        <v>724</v>
      </c>
      <c r="B115" s="215" t="str">
        <f ca="1">IF(LEN(A115)=0,"",INDEX('Smelter Look-up'!$A:$A,MATCH($A115,'Smelter Look-up'!$E:$E,0)))</f>
        <v>Gold</v>
      </c>
      <c r="C115" s="219" t="str">
        <f ca="1">IF(LEN(A115)=0,"",INDEX('Smelter Look-up'!$C:$C,MATCH($A115,'Smelter Look-up'!$E:$E,0)))</f>
        <v>Royal Canadian Mint</v>
      </c>
      <c r="D115" s="278"/>
      <c r="E115" s="215" t="str">
        <f ca="1">IF(ISERROR($V115),"",OFFSET('Smelter Look-up'!$D$4,$V115-4,0)&amp;"")</f>
        <v>CANADA</v>
      </c>
      <c r="F115" s="215" t="str">
        <f ca="1">IF(ISERROR($V115),"",OFFSET('Smelter Look-up'!$E$4,$V115-4,0))</f>
        <v>CID001534</v>
      </c>
      <c r="G115" s="215" t="str">
        <f ca="1">IF(C115=$X$4,"Enter smelter details",IF(ISERROR($V115),"",OFFSET('Smelter Look-up'!$F$4,$V115-4,0)))</f>
        <v>RMI</v>
      </c>
      <c r="H115" s="216">
        <f ca="1">IF(ISERROR($V115),"",OFFSET('Smelter Look-up'!$G$4,$V115-4,0))</f>
        <v>0</v>
      </c>
      <c r="I115" s="217" t="str">
        <f ca="1">IF(ISERROR($V115),"",OFFSET('Smelter Look-up'!$H$4,$V115-4,0))</f>
        <v>Ottawa</v>
      </c>
      <c r="J115" s="217" t="str">
        <f ca="1">IF(ISERROR($V115),"",OFFSET('Smelter Look-up'!$I$4,$V115-4,0))</f>
        <v>Ontario</v>
      </c>
      <c r="K115" s="268"/>
      <c r="L115" s="268"/>
      <c r="M115" s="268"/>
      <c r="N115" s="268"/>
      <c r="O115" s="268"/>
      <c r="P115" s="218"/>
      <c r="Q115" s="269"/>
      <c r="R115" s="215" t="str">
        <f ca="1">IF(ISERROR($V115),"",OFFSET('Smelter Look-up'!$C$4,$V115-4,0)&amp;"")</f>
        <v>Royal Canadian Mint</v>
      </c>
      <c r="S115" s="222" t="str">
        <f t="shared" ca="1" si="15"/>
        <v>CA</v>
      </c>
      <c r="T115" s="222" t="str">
        <f ca="1">IF(B115="","",IF(ISERROR(MATCH($J115,SorP!$B$1:$B$6230,0)),"",INDIRECT("'SorP'!$A$"&amp;MATCH($J115,SorP!$B$1:$B$6230,0))))</f>
        <v>CA-ON</v>
      </c>
      <c r="U115" s="238"/>
      <c r="V115" s="270">
        <f ca="1">IF(C115="",NA(),MATCH($B115&amp;$C115,'Smelter Look-up'!$J:$J,0))</f>
        <v>215</v>
      </c>
      <c r="W115" s="271"/>
      <c r="X115" s="271">
        <f t="shared" ca="1" si="16"/>
        <v>0</v>
      </c>
      <c r="Y115" s="271"/>
      <c r="Z115" s="271"/>
      <c r="AB115" s="273" t="str">
        <f t="shared" ca="1" si="17"/>
        <v>GoldRoyal Canadian Mint</v>
      </c>
    </row>
    <row r="116" spans="1:28" s="272" customFormat="1" ht="63.75">
      <c r="A116" s="214" t="s">
        <v>743</v>
      </c>
      <c r="B116" s="215" t="str">
        <f ca="1">IF(LEN(A116)=0,"",INDEX('Smelter Look-up'!$A:$A,MATCH($A116,'Smelter Look-up'!$E:$E,0)))</f>
        <v>Gold</v>
      </c>
      <c r="C116" s="219" t="str">
        <f ca="1">IF(LEN(A116)=0,"",INDEX('Smelter Look-up'!$C:$C,MATCH($A116,'Smelter Look-up'!$E:$E,0)))</f>
        <v>Yokohama Metal Co., Ltd.</v>
      </c>
      <c r="D116" s="278"/>
      <c r="E116" s="215" t="str">
        <f ca="1">IF(ISERROR($V116),"",OFFSET('Smelter Look-up'!$D$4,$V116-4,0)&amp;"")</f>
        <v>JAPAN</v>
      </c>
      <c r="F116" s="215" t="str">
        <f ca="1">IF(ISERROR($V116),"",OFFSET('Smelter Look-up'!$E$4,$V116-4,0))</f>
        <v>CID002129</v>
      </c>
      <c r="G116" s="215" t="str">
        <f ca="1">IF(C116=$X$4,"Enter smelter details",IF(ISERROR($V116),"",OFFSET('Smelter Look-up'!$F$4,$V116-4,0)))</f>
        <v>RMI</v>
      </c>
      <c r="H116" s="216">
        <f ca="1">IF(ISERROR($V116),"",OFFSET('Smelter Look-up'!$G$4,$V116-4,0))</f>
        <v>0</v>
      </c>
      <c r="I116" s="217" t="str">
        <f ca="1">IF(ISERROR($V116),"",OFFSET('Smelter Look-up'!$H$4,$V116-4,0))</f>
        <v>Sagamihara</v>
      </c>
      <c r="J116" s="217" t="str">
        <f ca="1">IF(ISERROR($V116),"",OFFSET('Smelter Look-up'!$I$4,$V116-4,0))</f>
        <v>Kanagawa</v>
      </c>
      <c r="K116" s="268"/>
      <c r="L116" s="268"/>
      <c r="M116" s="268"/>
      <c r="N116" s="268"/>
      <c r="O116" s="268"/>
      <c r="P116" s="218"/>
      <c r="Q116" s="269"/>
      <c r="R116" s="215" t="str">
        <f ca="1">IF(ISERROR($V116),"",OFFSET('Smelter Look-up'!$C$4,$V116-4,0)&amp;"")</f>
        <v>Yokohama Metal Co., Ltd.</v>
      </c>
      <c r="S116" s="222" t="str">
        <f t="shared" ca="1" si="15"/>
        <v>JP</v>
      </c>
      <c r="T116" s="222" t="str">
        <f ca="1">IF(B116="","",IF(ISERROR(MATCH($J116,SorP!$B$1:$B$6230,0)),"",INDIRECT("'SorP'!$A$"&amp;MATCH($J116,SorP!$B$1:$B$6230,0))))</f>
        <v>JP-14</v>
      </c>
      <c r="U116" s="238"/>
      <c r="V116" s="270">
        <f ca="1">IF(C116="",NA(),MATCH($B116&amp;$C116,'Smelter Look-up'!$J:$J,0))</f>
        <v>300</v>
      </c>
      <c r="W116" s="271"/>
      <c r="X116" s="271">
        <f t="shared" ca="1" si="16"/>
        <v>0</v>
      </c>
      <c r="Y116" s="271"/>
      <c r="Z116" s="271"/>
      <c r="AB116" s="273" t="str">
        <f t="shared" ca="1" si="17"/>
        <v>GoldYokohama Metal Co., Ltd.</v>
      </c>
    </row>
    <row r="117" spans="1:28" s="272" customFormat="1" ht="63.75">
      <c r="A117" s="214" t="s">
        <v>13152</v>
      </c>
      <c r="B117" s="215" t="str">
        <f ca="1">IF(LEN(A117)=0,"",INDEX('Smelter Look-up'!$A:$A,MATCH($A117,'Smelter Look-up'!$E:$E,0)))</f>
        <v>Tin</v>
      </c>
      <c r="C117" s="219" t="str">
        <f ca="1">IF(LEN(A117)=0,"",INDEX('Smelter Look-up'!$C:$C,MATCH($A117,'Smelter Look-up'!$E:$E,0)))</f>
        <v>Pongpipat Company Limited</v>
      </c>
      <c r="D117" s="278"/>
      <c r="E117" s="215" t="str">
        <f ca="1">IF(ISERROR($V117),"",OFFSET('Smelter Look-up'!$D$4,$V117-4,0)&amp;"")</f>
        <v>MYANMAR</v>
      </c>
      <c r="F117" s="215" t="str">
        <f ca="1">IF(ISERROR($V117),"",OFFSET('Smelter Look-up'!$E$4,$V117-4,0))</f>
        <v>CID003208</v>
      </c>
      <c r="G117" s="215" t="str">
        <f ca="1">IF(C117=$X$4,"Enter smelter details",IF(ISERROR($V117),"",OFFSET('Smelter Look-up'!$F$4,$V117-4,0)))</f>
        <v>RMI</v>
      </c>
      <c r="H117" s="216">
        <f ca="1">IF(ISERROR($V117),"",OFFSET('Smelter Look-up'!$G$4,$V117-4,0))</f>
        <v>0</v>
      </c>
      <c r="I117" s="217" t="str">
        <f ca="1">IF(ISERROR($V117),"",OFFSET('Smelter Look-up'!$H$4,$V117-4,0))</f>
        <v>Yangon</v>
      </c>
      <c r="J117" s="217" t="str">
        <f ca="1">IF(ISERROR($V117),"",OFFSET('Smelter Look-up'!$I$4,$V117-4,0))</f>
        <v>Yangon</v>
      </c>
      <c r="K117" s="268"/>
      <c r="L117" s="268"/>
      <c r="M117" s="268"/>
      <c r="N117" s="268"/>
      <c r="O117" s="268"/>
      <c r="P117" s="218"/>
      <c r="Q117" s="269"/>
      <c r="R117" s="215" t="str">
        <f ca="1">IF(ISERROR($V117),"",OFFSET('Smelter Look-up'!$C$4,$V117-4,0)&amp;"")</f>
        <v>Pongpipat Company Limited</v>
      </c>
      <c r="S117" s="222" t="str">
        <f t="shared" ca="1" si="15"/>
        <v>MM</v>
      </c>
      <c r="T117" s="222" t="str">
        <f ca="1">IF(B117="","",IF(ISERROR(MATCH($J117,SorP!$B$1:$B$6230,0)),"",INDIRECT("'SorP'!$A$"&amp;MATCH($J117,SorP!$B$1:$B$6230,0))))</f>
        <v>MM-06</v>
      </c>
      <c r="U117" s="238"/>
      <c r="V117" s="270">
        <f ca="1">IF(C117="",NA(),MATCH($B117&amp;$C117,'Smelter Look-up'!$J:$J,0))</f>
        <v>473</v>
      </c>
      <c r="W117" s="271"/>
      <c r="X117" s="271">
        <f t="shared" ca="1" si="16"/>
        <v>0</v>
      </c>
      <c r="Y117" s="271"/>
      <c r="Z117" s="271"/>
      <c r="AB117" s="273" t="str">
        <f t="shared" ca="1" si="17"/>
        <v>TinPongpipat Company Limited</v>
      </c>
    </row>
    <row r="118" spans="1:28" s="272" customFormat="1" ht="76.5">
      <c r="A118" s="214" t="s">
        <v>1385</v>
      </c>
      <c r="B118" s="215" t="str">
        <f ca="1">IF(LEN(A118)=0,"",INDEX('Smelter Look-up'!$A:$A,MATCH($A118,'Smelter Look-up'!$E:$E,0)))</f>
        <v>Gold</v>
      </c>
      <c r="C118" s="219" t="str">
        <f ca="1">IF(LEN(A118)=0,"",INDEX('Smelter Look-up'!$C:$C,MATCH($A118,'Smelter Look-up'!$E:$E,0)))</f>
        <v>Advanced Chemical Company</v>
      </c>
      <c r="D118" s="278"/>
      <c r="E118" s="215" t="str">
        <f ca="1">IF(ISERROR($V118),"",OFFSET('Smelter Look-up'!$D$4,$V118-4,0)&amp;"")</f>
        <v>UNITED STATES OF AMERICA</v>
      </c>
      <c r="F118" s="215" t="str">
        <f ca="1">IF(ISERROR($V118),"",OFFSET('Smelter Look-up'!$E$4,$V118-4,0))</f>
        <v>CID000015</v>
      </c>
      <c r="G118" s="215" t="str">
        <f ca="1">IF(C118=$X$4,"Enter smelter details",IF(ISERROR($V118),"",OFFSET('Smelter Look-up'!$F$4,$V118-4,0)))</f>
        <v>RMI</v>
      </c>
      <c r="H118" s="216">
        <f ca="1">IF(ISERROR($V118),"",OFFSET('Smelter Look-up'!$G$4,$V118-4,0))</f>
        <v>0</v>
      </c>
      <c r="I118" s="217" t="str">
        <f ca="1">IF(ISERROR($V118),"",OFFSET('Smelter Look-up'!$H$4,$V118-4,0))</f>
        <v>Warwick</v>
      </c>
      <c r="J118" s="217" t="str">
        <f ca="1">IF(ISERROR($V118),"",OFFSET('Smelter Look-up'!$I$4,$V118-4,0))</f>
        <v>Rhode Island</v>
      </c>
      <c r="K118" s="268"/>
      <c r="L118" s="268"/>
      <c r="M118" s="268"/>
      <c r="N118" s="268"/>
      <c r="O118" s="268"/>
      <c r="P118" s="218"/>
      <c r="Q118" s="269"/>
      <c r="R118" s="215" t="str">
        <f ca="1">IF(ISERROR($V118),"",OFFSET('Smelter Look-up'!$C$4,$V118-4,0)&amp;"")</f>
        <v>Advanced Chemical Company</v>
      </c>
      <c r="S118" s="222" t="str">
        <f t="shared" ca="1" si="15"/>
        <v>US</v>
      </c>
      <c r="T118" s="222" t="str">
        <f ca="1">IF(B118="","",IF(ISERROR(MATCH($J118,SorP!$B$1:$B$6230,0)),"",INDIRECT("'SorP'!$A$"&amp;MATCH($J118,SorP!$B$1:$B$6230,0))))</f>
        <v>US-RI</v>
      </c>
      <c r="U118" s="238"/>
      <c r="V118" s="270">
        <f ca="1">IF(C118="",NA(),MATCH($B118&amp;$C118,'Smelter Look-up'!$J:$J,0))</f>
        <v>7</v>
      </c>
      <c r="W118" s="271"/>
      <c r="X118" s="271">
        <f t="shared" ca="1" si="16"/>
        <v>0</v>
      </c>
      <c r="Y118" s="271"/>
      <c r="Z118" s="271"/>
      <c r="AB118" s="273" t="str">
        <f t="shared" ca="1" si="17"/>
        <v>GoldAdvanced Chemical Company</v>
      </c>
    </row>
    <row r="119" spans="1:28" s="272" customFormat="1" ht="76.5">
      <c r="A119" s="214" t="s">
        <v>675</v>
      </c>
      <c r="B119" s="215" t="str">
        <f ca="1">IF(LEN(A119)=0,"",INDEX('Smelter Look-up'!$A:$A,MATCH($A119,'Smelter Look-up'!$E:$E,0)))</f>
        <v>Gold</v>
      </c>
      <c r="C119" s="219" t="str">
        <f ca="1">IF(LEN(A119)=0,"",INDEX('Smelter Look-up'!$C:$C,MATCH($A119,'Smelter Look-up'!$E:$E,0)))</f>
        <v>Refinery of Seemine Gold Co., Ltd.</v>
      </c>
      <c r="D119" s="278"/>
      <c r="E119" s="215" t="str">
        <f ca="1">IF(ISERROR($V119),"",OFFSET('Smelter Look-up'!$D$4,$V119-4,0)&amp;"")</f>
        <v>CHINA</v>
      </c>
      <c r="F119" s="215" t="str">
        <f ca="1">IF(ISERROR($V119),"",OFFSET('Smelter Look-up'!$E$4,$V119-4,0))</f>
        <v>CID000522</v>
      </c>
      <c r="G119" s="215" t="str">
        <f ca="1">IF(C119=$X$4,"Enter smelter details",IF(ISERROR($V119),"",OFFSET('Smelter Look-up'!$F$4,$V119-4,0)))</f>
        <v>RMI</v>
      </c>
      <c r="H119" s="216">
        <f ca="1">IF(ISERROR($V119),"",OFFSET('Smelter Look-up'!$G$4,$V119-4,0))</f>
        <v>0</v>
      </c>
      <c r="I119" s="217" t="str">
        <f ca="1">IF(ISERROR($V119),"",OFFSET('Smelter Look-up'!$H$4,$V119-4,0))</f>
        <v>Lanzhou</v>
      </c>
      <c r="J119" s="217" t="str">
        <f ca="1">IF(ISERROR($V119),"",OFFSET('Smelter Look-up'!$I$4,$V119-4,0))</f>
        <v>Gansu Sheng</v>
      </c>
      <c r="K119" s="268"/>
      <c r="L119" s="268"/>
      <c r="M119" s="268"/>
      <c r="N119" s="268"/>
      <c r="O119" s="268"/>
      <c r="P119" s="218"/>
      <c r="Q119" s="269"/>
      <c r="R119" s="215" t="str">
        <f ca="1">IF(ISERROR($V119),"",OFFSET('Smelter Look-up'!$C$4,$V119-4,0)&amp;"")</f>
        <v>Refinery of Seemine Gold Co., Ltd.</v>
      </c>
      <c r="S119" s="222" t="str">
        <f t="shared" ca="1" si="15"/>
        <v>CN</v>
      </c>
      <c r="T119" s="222" t="str">
        <f ca="1">IF(B119="","",IF(ISERROR(MATCH($J119,SorP!$B$1:$B$6230,0)),"",INDIRECT("'SorP'!$A$"&amp;MATCH($J119,SorP!$B$1:$B$6230,0))))</f>
        <v>CN-GS</v>
      </c>
      <c r="U119" s="238"/>
      <c r="V119" s="270">
        <f ca="1">IF(C119="",NA(),MATCH($B119&amp;$C119,'Smelter Look-up'!$J:$J,0))</f>
        <v>212</v>
      </c>
      <c r="W119" s="271"/>
      <c r="X119" s="271">
        <f t="shared" ca="1" si="16"/>
        <v>0</v>
      </c>
      <c r="Y119" s="271"/>
      <c r="Z119" s="271"/>
      <c r="AB119" s="273" t="str">
        <f t="shared" ca="1" si="17"/>
        <v>GoldRefinery of Seemine Gold Co., Ltd.</v>
      </c>
    </row>
    <row r="120" spans="1:28" s="272" customFormat="1" ht="102">
      <c r="A120" s="214" t="s">
        <v>714</v>
      </c>
      <c r="B120" s="215" t="str">
        <f ca="1">IF(LEN(A120)=0,"",INDEX('Smelter Look-up'!$A:$A,MATCH($A120,'Smelter Look-up'!$E:$E,0)))</f>
        <v>Gold</v>
      </c>
      <c r="C120" s="219" t="str">
        <f ca="1">IF(LEN(A120)=0,"",INDEX('Smelter Look-up'!$C:$C,MATCH($A120,'Smelter Look-up'!$E:$E,0)))</f>
        <v>Navoi Mining and Metallurgical Combinat</v>
      </c>
      <c r="D120" s="278"/>
      <c r="E120" s="215" t="str">
        <f ca="1">IF(ISERROR($V120),"",OFFSET('Smelter Look-up'!$D$4,$V120-4,0)&amp;"")</f>
        <v>UZBEKISTAN</v>
      </c>
      <c r="F120" s="215" t="str">
        <f ca="1">IF(ISERROR($V120),"",OFFSET('Smelter Look-up'!$E$4,$V120-4,0))</f>
        <v>CID001236</v>
      </c>
      <c r="G120" s="215" t="str">
        <f ca="1">IF(C120=$X$4,"Enter smelter details",IF(ISERROR($V120),"",OFFSET('Smelter Look-up'!$F$4,$V120-4,0)))</f>
        <v>RMI</v>
      </c>
      <c r="H120" s="216">
        <f ca="1">IF(ISERROR($V120),"",OFFSET('Smelter Look-up'!$G$4,$V120-4,0))</f>
        <v>0</v>
      </c>
      <c r="I120" s="217" t="str">
        <f ca="1">IF(ISERROR($V120),"",OFFSET('Smelter Look-up'!$H$4,$V120-4,0))</f>
        <v>Navoi</v>
      </c>
      <c r="J120" s="217" t="str">
        <f ca="1">IF(ISERROR($V120),"",OFFSET('Smelter Look-up'!$I$4,$V120-4,0))</f>
        <v>Navoiy</v>
      </c>
      <c r="K120" s="268"/>
      <c r="L120" s="268"/>
      <c r="M120" s="268"/>
      <c r="N120" s="268"/>
      <c r="O120" s="268"/>
      <c r="P120" s="218"/>
      <c r="Q120" s="269"/>
      <c r="R120" s="215" t="str">
        <f ca="1">IF(ISERROR($V120),"",OFFSET('Smelter Look-up'!$C$4,$V120-4,0)&amp;"")</f>
        <v>Navoi Mining and Metallurgical Combinat</v>
      </c>
      <c r="S120" s="222" t="str">
        <f t="shared" ca="1" si="15"/>
        <v>UZ</v>
      </c>
      <c r="T120" s="222" t="str">
        <f ca="1">IF(B120="","",IF(ISERROR(MATCH($J120,SorP!$B$1:$B$6230,0)),"",INDIRECT("'SorP'!$A$"&amp;MATCH($J120,SorP!$B$1:$B$6230,0))))</f>
        <v>UZ-NW</v>
      </c>
      <c r="U120" s="238"/>
      <c r="V120" s="270">
        <f ca="1">IF(C120="",NA(),MATCH($B120&amp;$C120,'Smelter Look-up'!$J:$J,0))</f>
        <v>186</v>
      </c>
      <c r="W120" s="271"/>
      <c r="X120" s="271">
        <f t="shared" ca="1" si="16"/>
        <v>0</v>
      </c>
      <c r="Y120" s="271"/>
      <c r="Z120" s="271"/>
      <c r="AB120" s="273" t="str">
        <f t="shared" ca="1" si="17"/>
        <v>GoldNavoi Mining and Metallurgical Combinat</v>
      </c>
    </row>
    <row r="121" spans="1:28" s="272" customFormat="1" ht="63.75">
      <c r="A121" s="214" t="s">
        <v>15394</v>
      </c>
      <c r="B121" s="215" t="str">
        <f ca="1">IF(LEN(A121)=0,"",INDEX('Smelter Look-up'!$A:$A,MATCH($A121,'Smelter Look-up'!$E:$E,0)))</f>
        <v>Tin</v>
      </c>
      <c r="C121" s="219" t="str">
        <f ca="1">IF(LEN(A121)=0,"",INDEX('Smelter Look-up'!$C:$C,MATCH($A121,'Smelter Look-up'!$E:$E,0)))</f>
        <v>Novosibirsk Processing Plant Ltd.</v>
      </c>
      <c r="D121" s="278"/>
      <c r="E121" s="215" t="str">
        <f ca="1">IF(ISERROR($V121),"",OFFSET('Smelter Look-up'!$D$4,$V121-4,0)&amp;"")</f>
        <v>RUSSIAN FEDERATION</v>
      </c>
      <c r="F121" s="215" t="str">
        <f ca="1">IF(ISERROR($V121),"",OFFSET('Smelter Look-up'!$E$4,$V121-4,0))</f>
        <v>CID001305</v>
      </c>
      <c r="G121" s="215" t="str">
        <f ca="1">IF(C121=$X$4,"Enter smelter details",IF(ISERROR($V121),"",OFFSET('Smelter Look-up'!$F$4,$V121-4,0)))</f>
        <v>RMI</v>
      </c>
      <c r="H121" s="216">
        <f ca="1">IF(ISERROR($V121),"",OFFSET('Smelter Look-up'!$G$4,$V121-4,0))</f>
        <v>0</v>
      </c>
      <c r="I121" s="217" t="str">
        <f ca="1">IF(ISERROR($V121),"",OFFSET('Smelter Look-up'!$H$4,$V121-4,0))</f>
        <v>Novosibirsk</v>
      </c>
      <c r="J121" s="217" t="str">
        <f ca="1">IF(ISERROR($V121),"",OFFSET('Smelter Look-up'!$I$4,$V121-4,0))</f>
        <v>Novosibirskaya oblast'</v>
      </c>
      <c r="K121" s="268"/>
      <c r="L121" s="268"/>
      <c r="M121" s="268"/>
      <c r="N121" s="268"/>
      <c r="O121" s="268"/>
      <c r="P121" s="218"/>
      <c r="Q121" s="269"/>
      <c r="R121" s="215" t="str">
        <f ca="1">IF(ISERROR($V121),"",OFFSET('Smelter Look-up'!$C$4,$V121-4,0)&amp;"")</f>
        <v>Novosibirsk Processing Plant Ltd.</v>
      </c>
      <c r="S121" s="222" t="str">
        <f t="shared" ca="1" si="15"/>
        <v>RU</v>
      </c>
      <c r="T121" s="222" t="str">
        <f ca="1">IF(B121="","",IF(ISERROR(MATCH($J121,SorP!$B$1:$B$6230,0)),"",INDIRECT("'SorP'!$A$"&amp;MATCH($J121,SorP!$B$1:$B$6230,0))))</f>
        <v>RU-NVS</v>
      </c>
      <c r="U121" s="238"/>
      <c r="V121" s="270">
        <f ca="1">IF(C121="",NA(),MATCH($B121&amp;$C121,'Smelter Look-up'!$J:$J,0))</f>
        <v>467</v>
      </c>
      <c r="W121" s="271"/>
      <c r="X121" s="271">
        <f t="shared" ca="1" si="16"/>
        <v>0</v>
      </c>
      <c r="Y121" s="271"/>
      <c r="Z121" s="271"/>
      <c r="AB121" s="273" t="str">
        <f t="shared" ca="1" si="17"/>
        <v>TinNovosibirsk Processing Plant Ltd.</v>
      </c>
    </row>
    <row r="122" spans="1:28" s="272" customFormat="1" ht="76.5">
      <c r="A122" s="214" t="s">
        <v>779</v>
      </c>
      <c r="B122" s="215" t="str">
        <f ca="1">IF(LEN(A122)=0,"",INDEX('Smelter Look-up'!$A:$A,MATCH($A122,'Smelter Look-up'!$E:$E,0)))</f>
        <v>Tin</v>
      </c>
      <c r="C122" s="219" t="str">
        <f ca="1">IF(LEN(A122)=0,"",INDEX('Smelter Look-up'!$C:$C,MATCH($A122,'Smelter Look-up'!$E:$E,0)))</f>
        <v>O.M. Manufacturing (Thailand) Co., Ltd.</v>
      </c>
      <c r="D122" s="278"/>
      <c r="E122" s="215" t="str">
        <f ca="1">IF(ISERROR($V122),"",OFFSET('Smelter Look-up'!$D$4,$V122-4,0)&amp;"")</f>
        <v>THAILAND</v>
      </c>
      <c r="F122" s="215" t="str">
        <f ca="1">IF(ISERROR($V122),"",OFFSET('Smelter Look-up'!$E$4,$V122-4,0))</f>
        <v>CID001314</v>
      </c>
      <c r="G122" s="215" t="str">
        <f ca="1">IF(C122=$X$4,"Enter smelter details",IF(ISERROR($V122),"",OFFSET('Smelter Look-up'!$F$4,$V122-4,0)))</f>
        <v>RMI</v>
      </c>
      <c r="H122" s="216">
        <f ca="1">IF(ISERROR($V122),"",OFFSET('Smelter Look-up'!$G$4,$V122-4,0))</f>
        <v>0</v>
      </c>
      <c r="I122" s="217" t="str">
        <f ca="1">IF(ISERROR($V122),"",OFFSET('Smelter Look-up'!$H$4,$V122-4,0))</f>
        <v>Nongkham Sriracha</v>
      </c>
      <c r="J122" s="217" t="str">
        <f ca="1">IF(ISERROR($V122),"",OFFSET('Smelter Look-up'!$I$4,$V122-4,0))</f>
        <v>Chon Buri</v>
      </c>
      <c r="K122" s="268"/>
      <c r="L122" s="268"/>
      <c r="M122" s="268"/>
      <c r="N122" s="268"/>
      <c r="O122" s="268"/>
      <c r="P122" s="218"/>
      <c r="Q122" s="269"/>
      <c r="R122" s="215" t="str">
        <f ca="1">IF(ISERROR($V122),"",OFFSET('Smelter Look-up'!$C$4,$V122-4,0)&amp;"")</f>
        <v>O.M. Manufacturing (Thailand) Co., Ltd.</v>
      </c>
      <c r="S122" s="222" t="str">
        <f t="shared" ca="1" si="15"/>
        <v>TH</v>
      </c>
      <c r="T122" s="222" t="str">
        <f ca="1">IF(B122="","",IF(ISERROR(MATCH($J122,SorP!$B$1:$B$6230,0)),"",INDIRECT("'SorP'!$A$"&amp;MATCH($J122,SorP!$B$1:$B$6230,0))))</f>
        <v>TH-20</v>
      </c>
      <c r="U122" s="238"/>
      <c r="V122" s="270">
        <f ca="1">IF(C122="",NA(),MATCH($B122&amp;$C122,'Smelter Look-up'!$J:$J,0))</f>
        <v>468</v>
      </c>
      <c r="W122" s="271"/>
      <c r="X122" s="271">
        <f t="shared" ca="1" si="16"/>
        <v>0</v>
      </c>
      <c r="Y122" s="271"/>
      <c r="Z122" s="271"/>
      <c r="AB122" s="273" t="str">
        <f t="shared" ca="1" si="17"/>
        <v>TinO.M. Manufacturing (Thailand) Co., Ltd.</v>
      </c>
    </row>
    <row r="123" spans="1:28" s="272" customFormat="1" ht="76.5">
      <c r="A123" s="214" t="s">
        <v>731</v>
      </c>
      <c r="B123" s="215" t="str">
        <f ca="1">IF(LEN(A123)=0,"",INDEX('Smelter Look-up'!$A:$A,MATCH($A123,'Smelter Look-up'!$E:$E,0)))</f>
        <v>Gold</v>
      </c>
      <c r="C123" s="219" t="str">
        <f ca="1">IF(LEN(A123)=0,"",INDEX('Smelter Look-up'!$C:$C,MATCH($A123,'Smelter Look-up'!$E:$E,0)))</f>
        <v>Sumitomo Metal Mining Co., Ltd.</v>
      </c>
      <c r="D123" s="278"/>
      <c r="E123" s="215" t="str">
        <f ca="1">IF(ISERROR($V123),"",OFFSET('Smelter Look-up'!$D$4,$V123-4,0)&amp;"")</f>
        <v>JAPAN</v>
      </c>
      <c r="F123" s="215" t="str">
        <f ca="1">IF(ISERROR($V123),"",OFFSET('Smelter Look-up'!$E$4,$V123-4,0))</f>
        <v>CID001798</v>
      </c>
      <c r="G123" s="215" t="str">
        <f ca="1">IF(C123=$X$4,"Enter smelter details",IF(ISERROR($V123),"",OFFSET('Smelter Look-up'!$F$4,$V123-4,0)))</f>
        <v>RMI</v>
      </c>
      <c r="H123" s="216">
        <f ca="1">IF(ISERROR($V123),"",OFFSET('Smelter Look-up'!$G$4,$V123-4,0))</f>
        <v>0</v>
      </c>
      <c r="I123" s="217" t="str">
        <f ca="1">IF(ISERROR($V123),"",OFFSET('Smelter Look-up'!$H$4,$V123-4,0))</f>
        <v>Saijo</v>
      </c>
      <c r="J123" s="217" t="str">
        <f ca="1">IF(ISERROR($V123),"",OFFSET('Smelter Look-up'!$I$4,$V123-4,0))</f>
        <v>Ehime</v>
      </c>
      <c r="K123" s="268"/>
      <c r="L123" s="268"/>
      <c r="M123" s="268"/>
      <c r="N123" s="268"/>
      <c r="O123" s="268"/>
      <c r="P123" s="218"/>
      <c r="Q123" s="269"/>
      <c r="R123" s="215" t="str">
        <f ca="1">IF(ISERROR($V123),"",OFFSET('Smelter Look-up'!$C$4,$V123-4,0)&amp;"")</f>
        <v>Sumitomo Metal Mining Co., Ltd.</v>
      </c>
      <c r="S123" s="222" t="str">
        <f t="shared" ca="1" si="15"/>
        <v>JP</v>
      </c>
      <c r="T123" s="222" t="str">
        <f ca="1">IF(B123="","",IF(ISERROR(MATCH($J123,SorP!$B$1:$B$6230,0)),"",INDIRECT("'SorP'!$A$"&amp;MATCH($J123,SorP!$B$1:$B$6230,0))))</f>
        <v>JP-38</v>
      </c>
      <c r="U123" s="238"/>
      <c r="V123" s="270">
        <f ca="1">IF(C123="",NA(),MATCH($B123&amp;$C123,'Smelter Look-up'!$J:$J,0))</f>
        <v>259</v>
      </c>
      <c r="W123" s="271"/>
      <c r="X123" s="271">
        <f t="shared" ca="1" si="16"/>
        <v>0</v>
      </c>
      <c r="Y123" s="271"/>
      <c r="Z123" s="271"/>
      <c r="AB123" s="273" t="str">
        <f t="shared" ca="1" si="17"/>
        <v>GoldSumitomo Metal Mining Co., Ltd.</v>
      </c>
    </row>
    <row r="124" spans="1:28" s="272" customFormat="1" ht="51">
      <c r="A124" s="214" t="s">
        <v>742</v>
      </c>
      <c r="B124" s="215" t="str">
        <f ca="1">IF(LEN(A124)=0,"",INDEX('Smelter Look-up'!$A:$A,MATCH($A124,'Smelter Look-up'!$E:$E,0)))</f>
        <v>Gold</v>
      </c>
      <c r="C124" s="219" t="str">
        <f ca="1">IF(LEN(A124)=0,"",INDEX('Smelter Look-up'!$C:$C,MATCH($A124,'Smelter Look-up'!$E:$E,0)))</f>
        <v>Yamakin Co., Ltd.</v>
      </c>
      <c r="D124" s="278"/>
      <c r="E124" s="215" t="str">
        <f ca="1">IF(ISERROR($V124),"",OFFSET('Smelter Look-up'!$D$4,$V124-4,0)&amp;"")</f>
        <v>JAPAN</v>
      </c>
      <c r="F124" s="215" t="str">
        <f ca="1">IF(ISERROR($V124),"",OFFSET('Smelter Look-up'!$E$4,$V124-4,0))</f>
        <v>CID002100</v>
      </c>
      <c r="G124" s="215" t="str">
        <f ca="1">IF(C124=$X$4,"Enter smelter details",IF(ISERROR($V124),"",OFFSET('Smelter Look-up'!$F$4,$V124-4,0)))</f>
        <v>RMI</v>
      </c>
      <c r="H124" s="216">
        <f ca="1">IF(ISERROR($V124),"",OFFSET('Smelter Look-up'!$G$4,$V124-4,0))</f>
        <v>0</v>
      </c>
      <c r="I124" s="217" t="str">
        <f ca="1">IF(ISERROR($V124),"",OFFSET('Smelter Look-up'!$H$4,$V124-4,0))</f>
        <v>Konan</v>
      </c>
      <c r="J124" s="217" t="str">
        <f ca="1">IF(ISERROR($V124),"",OFFSET('Smelter Look-up'!$I$4,$V124-4,0))</f>
        <v>Kochi</v>
      </c>
      <c r="K124" s="268"/>
      <c r="L124" s="268"/>
      <c r="M124" s="268"/>
      <c r="N124" s="268"/>
      <c r="O124" s="268"/>
      <c r="P124" s="218"/>
      <c r="Q124" s="269"/>
      <c r="R124" s="215" t="str">
        <f ca="1">IF(ISERROR($V124),"",OFFSET('Smelter Look-up'!$C$4,$V124-4,0)&amp;"")</f>
        <v>Yamakin Co., Ltd.</v>
      </c>
      <c r="S124" s="222" t="str">
        <f t="shared" ca="1" si="15"/>
        <v>JP</v>
      </c>
      <c r="T124" s="222" t="str">
        <f ca="1">IF(B124="","",IF(ISERROR(MATCH($J124,SorP!$B$1:$B$6230,0)),"",INDIRECT("'SorP'!$A$"&amp;MATCH($J124,SorP!$B$1:$B$6230,0))))</f>
        <v>JP-39</v>
      </c>
      <c r="U124" s="238"/>
      <c r="V124" s="270">
        <f ca="1">IF(C124="",NA(),MATCH($B124&amp;$C124,'Smelter Look-up'!$J:$J,0))</f>
        <v>295</v>
      </c>
      <c r="W124" s="271"/>
      <c r="X124" s="271">
        <f t="shared" ca="1" si="16"/>
        <v>0</v>
      </c>
      <c r="Y124" s="271"/>
      <c r="Z124" s="271"/>
      <c r="AB124" s="273" t="str">
        <f t="shared" ca="1" si="17"/>
        <v>GoldYamakin Co., Ltd.</v>
      </c>
    </row>
    <row r="125" spans="1:28" s="272" customFormat="1" ht="51">
      <c r="A125" s="214" t="s">
        <v>14107</v>
      </c>
      <c r="B125" s="215" t="str">
        <f ca="1">IF(LEN(A125)=0,"",INDEX('Smelter Look-up'!$A:$A,MATCH($A125,'Smelter Look-up'!$E:$E,0)))</f>
        <v>Gold</v>
      </c>
      <c r="C125" s="219" t="str">
        <f ca="1">IF(LEN(A125)=0,"",INDEX('Smelter Look-up'!$C:$C,MATCH($A125,'Smelter Look-up'!$E:$E,0)))</f>
        <v>Shirpur Gold Refinery Ltd.</v>
      </c>
      <c r="D125" s="278"/>
      <c r="E125" s="215" t="str">
        <f ca="1">IF(ISERROR($V125),"",OFFSET('Smelter Look-up'!$D$4,$V125-4,0)&amp;"")</f>
        <v>INDIA</v>
      </c>
      <c r="F125" s="215" t="str">
        <f ca="1">IF(ISERROR($V125),"",OFFSET('Smelter Look-up'!$E$4,$V125-4,0))</f>
        <v>CID002588</v>
      </c>
      <c r="G125" s="215" t="str">
        <f ca="1">IF(C125=$X$4,"Enter smelter details",IF(ISERROR($V125),"",OFFSET('Smelter Look-up'!$F$4,$V125-4,0)))</f>
        <v>RMI</v>
      </c>
      <c r="H125" s="216">
        <f ca="1">IF(ISERROR($V125),"",OFFSET('Smelter Look-up'!$G$4,$V125-4,0))</f>
        <v>0</v>
      </c>
      <c r="I125" s="217" t="str">
        <f ca="1">IF(ISERROR($V125),"",OFFSET('Smelter Look-up'!$H$4,$V125-4,0))</f>
        <v>Mumbai</v>
      </c>
      <c r="J125" s="217" t="str">
        <f ca="1">IF(ISERROR($V125),"",OFFSET('Smelter Look-up'!$I$4,$V125-4,0))</f>
        <v>Maharashtra</v>
      </c>
      <c r="K125" s="268"/>
      <c r="L125" s="268"/>
      <c r="M125" s="268"/>
      <c r="N125" s="268"/>
      <c r="O125" s="268"/>
      <c r="P125" s="218"/>
      <c r="Q125" s="269"/>
      <c r="R125" s="215" t="str">
        <f ca="1">IF(ISERROR($V125),"",OFFSET('Smelter Look-up'!$C$4,$V125-4,0)&amp;"")</f>
        <v>Shirpur Gold Refinery Ltd.</v>
      </c>
      <c r="S125" s="222" t="str">
        <f t="shared" ca="1" si="15"/>
        <v>IN</v>
      </c>
      <c r="T125" s="222" t="str">
        <f ca="1">IF(B125="","",IF(ISERROR(MATCH($J125,SorP!$B$1:$B$6230,0)),"",INDIRECT("'SorP'!$A$"&amp;MATCH($J125,SorP!$B$1:$B$6230,0))))</f>
        <v>IN-MH</v>
      </c>
      <c r="U125" s="238"/>
      <c r="V125" s="270">
        <f ca="1">IF(C125="",NA(),MATCH($B125&amp;$C125,'Smelter Look-up'!$J:$J,0))</f>
        <v>244</v>
      </c>
      <c r="W125" s="271"/>
      <c r="X125" s="271">
        <f t="shared" ca="1" si="16"/>
        <v>0</v>
      </c>
      <c r="Y125" s="271"/>
      <c r="Z125" s="271"/>
      <c r="AB125" s="273" t="str">
        <f t="shared" ca="1" si="17"/>
        <v>GoldShirpur Gold Refinery Ltd.</v>
      </c>
    </row>
    <row r="126" spans="1:28" s="272" customFormat="1" ht="63.75">
      <c r="A126" s="214" t="s">
        <v>2222</v>
      </c>
      <c r="B126" s="215" t="str">
        <f ca="1">IF(LEN(A126)=0,"",INDEX('Smelter Look-up'!$A:$A,MATCH($A126,'Smelter Look-up'!$E:$E,0)))</f>
        <v>Gold</v>
      </c>
      <c r="C126" s="219" t="str">
        <f ca="1">IF(LEN(A126)=0,"",INDEX('Smelter Look-up'!$C:$C,MATCH($A126,'Smelter Look-up'!$E:$E,0)))</f>
        <v>SAXONIA Edelmetalle GmbH</v>
      </c>
      <c r="D126" s="278"/>
      <c r="E126" s="215" t="str">
        <f ca="1">IF(ISERROR($V126),"",OFFSET('Smelter Look-up'!$D$4,$V126-4,0)&amp;"")</f>
        <v>GERMANY</v>
      </c>
      <c r="F126" s="215" t="str">
        <f ca="1">IF(ISERROR($V126),"",OFFSET('Smelter Look-up'!$E$4,$V126-4,0))</f>
        <v>CID002777</v>
      </c>
      <c r="G126" s="215" t="str">
        <f ca="1">IF(C126=$X$4,"Enter smelter details",IF(ISERROR($V126),"",OFFSET('Smelter Look-up'!$F$4,$V126-4,0)))</f>
        <v>RMI</v>
      </c>
      <c r="H126" s="216">
        <f ca="1">IF(ISERROR($V126),"",OFFSET('Smelter Look-up'!$G$4,$V126-4,0))</f>
        <v>0</v>
      </c>
      <c r="I126" s="217" t="str">
        <f ca="1">IF(ISERROR($V126),"",OFFSET('Smelter Look-up'!$H$4,$V126-4,0))</f>
        <v>Halsbrücke</v>
      </c>
      <c r="J126" s="217" t="str">
        <f ca="1">IF(ISERROR($V126),"",OFFSET('Smelter Look-up'!$I$4,$V126-4,0))</f>
        <v>Sachsen</v>
      </c>
      <c r="K126" s="268"/>
      <c r="L126" s="268"/>
      <c r="M126" s="268"/>
      <c r="N126" s="268"/>
      <c r="O126" s="268"/>
      <c r="P126" s="218"/>
      <c r="Q126" s="269"/>
      <c r="R126" s="215" t="str">
        <f ca="1">IF(ISERROR($V126),"",OFFSET('Smelter Look-up'!$C$4,$V126-4,0)&amp;"")</f>
        <v>SAXONIA Edelmetalle GmbH</v>
      </c>
      <c r="S126" s="222" t="str">
        <f t="shared" ca="1" si="15"/>
        <v>DE</v>
      </c>
      <c r="T126" s="222" t="str">
        <f ca="1">IF(B126="","",IF(ISERROR(MATCH($J126,SorP!$B$1:$B$6230,0)),"",INDIRECT("'SorP'!$A$"&amp;MATCH($J126,SorP!$B$1:$B$6230,0))))</f>
        <v>DE-SN</v>
      </c>
      <c r="U126" s="238"/>
      <c r="V126" s="270">
        <f ca="1">IF(C126="",NA(),MATCH($B126&amp;$C126,'Smelter Look-up'!$J:$J,0))</f>
        <v>226</v>
      </c>
      <c r="W126" s="271"/>
      <c r="X126" s="271">
        <f t="shared" ca="1" si="16"/>
        <v>0</v>
      </c>
      <c r="Y126" s="271"/>
      <c r="Z126" s="271"/>
      <c r="AB126" s="273" t="str">
        <f t="shared" ca="1" si="17"/>
        <v>GoldSAXONIA Edelmetalle GmbH</v>
      </c>
    </row>
    <row r="127" spans="1:28" s="272" customFormat="1" ht="51">
      <c r="A127" s="214" t="s">
        <v>1724</v>
      </c>
      <c r="B127" s="215" t="str">
        <f ca="1">IF(LEN(A127)=0,"",INDEX('Smelter Look-up'!$A:$A,MATCH($A127,'Smelter Look-up'!$E:$E,0)))</f>
        <v>Gold</v>
      </c>
      <c r="C127" s="219" t="str">
        <f ca="1">IF(LEN(A127)=0,"",INDEX('Smelter Look-up'!$C:$C,MATCH($A127,'Smelter Look-up'!$E:$E,0)))</f>
        <v>Korea Zinc Co., Ltd.</v>
      </c>
      <c r="D127" s="278"/>
      <c r="E127" s="215" t="str">
        <f ca="1">IF(ISERROR($V127),"",OFFSET('Smelter Look-up'!$D$4,$V127-4,0)&amp;"")</f>
        <v>KOREA, REPUBLIC OF</v>
      </c>
      <c r="F127" s="215" t="str">
        <f ca="1">IF(ISERROR($V127),"",OFFSET('Smelter Look-up'!$E$4,$V127-4,0))</f>
        <v>CID002605</v>
      </c>
      <c r="G127" s="215" t="str">
        <f ca="1">IF(C127=$X$4,"Enter smelter details",IF(ISERROR($V127),"",OFFSET('Smelter Look-up'!$F$4,$V127-4,0)))</f>
        <v>RMI</v>
      </c>
      <c r="H127" s="216">
        <f ca="1">IF(ISERROR($V127),"",OFFSET('Smelter Look-up'!$G$4,$V127-4,0))</f>
        <v>0</v>
      </c>
      <c r="I127" s="217" t="str">
        <f ca="1">IF(ISERROR($V127),"",OFFSET('Smelter Look-up'!$H$4,$V127-4,0))</f>
        <v>Gangnam</v>
      </c>
      <c r="J127" s="217" t="str">
        <f ca="1">IF(ISERROR($V127),"",OFFSET('Smelter Look-up'!$I$4,$V127-4,0))</f>
        <v>Seoul-teukbyeolsi</v>
      </c>
      <c r="K127" s="268"/>
      <c r="L127" s="268"/>
      <c r="M127" s="268"/>
      <c r="N127" s="268"/>
      <c r="O127" s="268"/>
      <c r="P127" s="218"/>
      <c r="Q127" s="269"/>
      <c r="R127" s="215" t="str">
        <f ca="1">IF(ISERROR($V127),"",OFFSET('Smelter Look-up'!$C$4,$V127-4,0)&amp;"")</f>
        <v>Korea Zinc Co., Ltd.</v>
      </c>
      <c r="S127" s="222" t="str">
        <f t="shared" ca="1" si="15"/>
        <v>KR</v>
      </c>
      <c r="T127" s="222" t="str">
        <f ca="1">IF(B127="","",IF(ISERROR(MATCH($J127,SorP!$B$1:$B$6230,0)),"",INDIRECT("'SorP'!$A$"&amp;MATCH($J127,SorP!$B$1:$B$6230,0))))</f>
        <v>KR-11</v>
      </c>
      <c r="U127" s="238"/>
      <c r="V127" s="270">
        <f ca="1">IF(C127="",NA(),MATCH($B127&amp;$C127,'Smelter Look-up'!$J:$J,0))</f>
        <v>140</v>
      </c>
      <c r="W127" s="271"/>
      <c r="X127" s="271">
        <f t="shared" ca="1" si="16"/>
        <v>0</v>
      </c>
      <c r="Y127" s="271"/>
      <c r="Z127" s="271"/>
      <c r="AB127" s="273" t="str">
        <f t="shared" ca="1" si="17"/>
        <v>GoldKorea Zinc Co., Ltd.</v>
      </c>
    </row>
    <row r="128" spans="1:28" s="272" customFormat="1" ht="51">
      <c r="A128" s="214" t="s">
        <v>2355</v>
      </c>
      <c r="B128" s="215" t="str">
        <f ca="1">IF(LEN(A128)=0,"",INDEX('Smelter Look-up'!$A:$A,MATCH($A128,'Smelter Look-up'!$E:$E,0)))</f>
        <v>Gold</v>
      </c>
      <c r="C128" s="219" t="str">
        <f ca="1">IF(LEN(A128)=0,"",INDEX('Smelter Look-up'!$C:$C,MATCH($A128,'Smelter Look-up'!$E:$E,0)))</f>
        <v>TOO Tau-Ken-Altyn</v>
      </c>
      <c r="D128" s="278"/>
      <c r="E128" s="215" t="str">
        <f ca="1">IF(ISERROR($V128),"",OFFSET('Smelter Look-up'!$D$4,$V128-4,0)&amp;"")</f>
        <v>KAZAKHSTAN</v>
      </c>
      <c r="F128" s="215" t="str">
        <f ca="1">IF(ISERROR($V128),"",OFFSET('Smelter Look-up'!$E$4,$V128-4,0))</f>
        <v>CID002615</v>
      </c>
      <c r="G128" s="215" t="str">
        <f ca="1">IF(C128=$X$4,"Enter smelter details",IF(ISERROR($V128),"",OFFSET('Smelter Look-up'!$F$4,$V128-4,0)))</f>
        <v>RMI</v>
      </c>
      <c r="H128" s="216">
        <f ca="1">IF(ISERROR($V128),"",OFFSET('Smelter Look-up'!$G$4,$V128-4,0))</f>
        <v>0</v>
      </c>
      <c r="I128" s="217" t="str">
        <f ca="1">IF(ISERROR($V128),"",OFFSET('Smelter Look-up'!$H$4,$V128-4,0))</f>
        <v>Astana</v>
      </c>
      <c r="J128" s="217" t="str">
        <f ca="1">IF(ISERROR($V128),"",OFFSET('Smelter Look-up'!$I$4,$V128-4,0))</f>
        <v>Almaty</v>
      </c>
      <c r="K128" s="268"/>
      <c r="L128" s="268"/>
      <c r="M128" s="268"/>
      <c r="N128" s="268"/>
      <c r="O128" s="268"/>
      <c r="P128" s="218"/>
      <c r="Q128" s="269"/>
      <c r="R128" s="215" t="str">
        <f ca="1">IF(ISERROR($V128),"",OFFSET('Smelter Look-up'!$C$4,$V128-4,0)&amp;"")</f>
        <v>TOO Tau-Ken-Altyn</v>
      </c>
      <c r="S128" s="222" t="str">
        <f t="shared" ca="1" si="15"/>
        <v>KZ</v>
      </c>
      <c r="T128" s="222" t="str">
        <f ca="1">IF(B128="","",IF(ISERROR(MATCH($J128,SorP!$B$1:$B$6230,0)),"",INDIRECT("'SorP'!$A$"&amp;MATCH($J128,SorP!$B$1:$B$6230,0))))</f>
        <v>KZ-ALA</v>
      </c>
      <c r="U128" s="238"/>
      <c r="V128" s="270">
        <f ca="1">IF(C128="",NA(),MATCH($B128&amp;$C128,'Smelter Look-up'!$J:$J,0))</f>
        <v>280</v>
      </c>
      <c r="W128" s="271"/>
      <c r="X128" s="271">
        <f t="shared" ca="1" si="16"/>
        <v>0</v>
      </c>
      <c r="Y128" s="271"/>
      <c r="Z128" s="271"/>
      <c r="AB128" s="273" t="str">
        <f t="shared" ca="1" si="17"/>
        <v>GoldTOO Tau-Ken-Altyn</v>
      </c>
    </row>
    <row r="129" spans="1:28" s="272" customFormat="1" ht="102">
      <c r="A129" s="214" t="s">
        <v>14036</v>
      </c>
      <c r="B129" s="215" t="str">
        <f ca="1">IF(LEN(A129)=0,"",INDEX('Smelter Look-up'!$A:$A,MATCH($A129,'Smelter Look-up'!$E:$E,0)))</f>
        <v>Tin</v>
      </c>
      <c r="C129" s="219" t="str">
        <f ca="1">IF(LEN(A129)=0,"",INDEX('Smelter Look-up'!$C:$C,MATCH($A129,'Smelter Look-up'!$E:$E,0)))</f>
        <v>Yunnan Yunfan Non-ferrous Metals Co., Ltd.</v>
      </c>
      <c r="D129" s="278"/>
      <c r="E129" s="215" t="str">
        <f ca="1">IF(ISERROR($V129),"",OFFSET('Smelter Look-up'!$D$4,$V129-4,0)&amp;"")</f>
        <v>CHINA</v>
      </c>
      <c r="F129" s="215" t="str">
        <f ca="1">IF(ISERROR($V129),"",OFFSET('Smelter Look-up'!$E$4,$V129-4,0))</f>
        <v>CID003397</v>
      </c>
      <c r="G129" s="215" t="str">
        <f ca="1">IF(C129=$X$4,"Enter smelter details",IF(ISERROR($V129),"",OFFSET('Smelter Look-up'!$F$4,$V129-4,0)))</f>
        <v>RMI</v>
      </c>
      <c r="H129" s="216">
        <f ca="1">IF(ISERROR($V129),"",OFFSET('Smelter Look-up'!$G$4,$V129-4,0))</f>
        <v>0</v>
      </c>
      <c r="I129" s="217" t="str">
        <f ca="1">IF(ISERROR($V129),"",OFFSET('Smelter Look-up'!$H$4,$V129-4,0))</f>
        <v>Gejiu</v>
      </c>
      <c r="J129" s="217" t="str">
        <f ca="1">IF(ISERROR($V129),"",OFFSET('Smelter Look-up'!$I$4,$V129-4,0))</f>
        <v>Yunnan Sheng</v>
      </c>
      <c r="K129" s="268"/>
      <c r="L129" s="268"/>
      <c r="M129" s="268"/>
      <c r="N129" s="268"/>
      <c r="O129" s="268"/>
      <c r="P129" s="218"/>
      <c r="Q129" s="269"/>
      <c r="R129" s="215" t="str">
        <f ca="1">IF(ISERROR($V129),"",OFFSET('Smelter Look-up'!$C$4,$V129-4,0)&amp;"")</f>
        <v>Yunnan Yunfan Non-ferrous Metals Co., Ltd.</v>
      </c>
      <c r="S129" s="222" t="str">
        <f t="shared" ca="1" si="15"/>
        <v>CN</v>
      </c>
      <c r="T129" s="222" t="str">
        <f ca="1">IF(B129="","",IF(ISERROR(MATCH($J129,SorP!$B$1:$B$6230,0)),"",INDIRECT("'SorP'!$A$"&amp;MATCH($J129,SorP!$B$1:$B$6230,0))))</f>
        <v>CN-YN</v>
      </c>
      <c r="U129" s="238"/>
      <c r="V129" s="270">
        <f ca="1">IF(C129="",NA(),MATCH($B129&amp;$C129,'Smelter Look-up'!$J:$J,0))</f>
        <v>528</v>
      </c>
      <c r="W129" s="271"/>
      <c r="X129" s="271">
        <f t="shared" ca="1" si="16"/>
        <v>0</v>
      </c>
      <c r="Y129" s="271"/>
      <c r="Z129" s="271"/>
      <c r="AB129" s="273" t="str">
        <f t="shared" ca="1" si="17"/>
        <v>TinYunnan Yunfan Non-ferrous Metals Co., Ltd.</v>
      </c>
    </row>
    <row r="130" spans="1:28" s="272" customFormat="1" ht="76.5">
      <c r="A130" s="214" t="s">
        <v>14032</v>
      </c>
      <c r="B130" s="215" t="str">
        <f ca="1">IF(LEN(A130)=0,"",INDEX('Smelter Look-up'!$A:$A,MATCH($A130,'Smelter Look-up'!$E:$E,0)))</f>
        <v>Tin</v>
      </c>
      <c r="C130" s="219" t="str">
        <f ca="1">IF(LEN(A130)=0,"",INDEX('Smelter Look-up'!$C:$C,MATCH($A130,'Smelter Look-up'!$E:$E,0)))</f>
        <v>Precious Minerals and Smelting Limited</v>
      </c>
      <c r="D130" s="278"/>
      <c r="E130" s="215" t="str">
        <f ca="1">IF(ISERROR($V130),"",OFFSET('Smelter Look-up'!$D$4,$V130-4,0)&amp;"")</f>
        <v>INDIA</v>
      </c>
      <c r="F130" s="215" t="str">
        <f ca="1">IF(ISERROR($V130),"",OFFSET('Smelter Look-up'!$E$4,$V130-4,0))</f>
        <v>CID003409</v>
      </c>
      <c r="G130" s="215" t="str">
        <f ca="1">IF(C130=$X$4,"Enter smelter details",IF(ISERROR($V130),"",OFFSET('Smelter Look-up'!$F$4,$V130-4,0)))</f>
        <v>RMI</v>
      </c>
      <c r="H130" s="216">
        <f ca="1">IF(ISERROR($V130),"",OFFSET('Smelter Look-up'!$G$4,$V130-4,0))</f>
        <v>0</v>
      </c>
      <c r="I130" s="217" t="str">
        <f ca="1">IF(ISERROR($V130),"",OFFSET('Smelter Look-up'!$H$4,$V130-4,0))</f>
        <v>Jagdalpur</v>
      </c>
      <c r="J130" s="217" t="str">
        <f ca="1">IF(ISERROR($V130),"",OFFSET('Smelter Look-up'!$I$4,$V130-4,0))</f>
        <v>Chhattisgarh</v>
      </c>
      <c r="K130" s="268"/>
      <c r="L130" s="268"/>
      <c r="M130" s="268"/>
      <c r="N130" s="268"/>
      <c r="O130" s="268"/>
      <c r="P130" s="218"/>
      <c r="Q130" s="269"/>
      <c r="R130" s="215" t="str">
        <f ca="1">IF(ISERROR($V130),"",OFFSET('Smelter Look-up'!$C$4,$V130-4,0)&amp;"")</f>
        <v>Precious Minerals and Smelting Limited</v>
      </c>
      <c r="S130" s="222" t="str">
        <f t="shared" ca="1" si="15"/>
        <v>IN</v>
      </c>
      <c r="T130" s="222" t="str">
        <f ca="1">IF(B130="","",IF(ISERROR(MATCH($J130,SorP!$B$1:$B$6230,0)),"",INDIRECT("'SorP'!$A$"&amp;MATCH($J130,SorP!$B$1:$B$6230,0))))</f>
        <v>IN-CT</v>
      </c>
      <c r="U130" s="238"/>
      <c r="V130" s="270">
        <f ca="1">IF(C130="",NA(),MATCH($B130&amp;$C130,'Smelter Look-up'!$J:$J,0))</f>
        <v>474</v>
      </c>
      <c r="W130" s="271"/>
      <c r="X130" s="271">
        <f t="shared" ca="1" si="16"/>
        <v>0</v>
      </c>
      <c r="Y130" s="271"/>
      <c r="Z130" s="271"/>
      <c r="AB130" s="273" t="str">
        <f t="shared" ca="1" si="17"/>
        <v>TinPrecious Minerals and Smelting Limited</v>
      </c>
    </row>
    <row r="131" spans="1:28" s="272" customFormat="1" ht="102">
      <c r="A131" s="214" t="s">
        <v>2303</v>
      </c>
      <c r="B131" s="215" t="str">
        <f ca="1">IF(LEN(A131)=0,"",INDEX('Smelter Look-up'!$A:$A,MATCH($A131,'Smelter Look-up'!$E:$E,0)))</f>
        <v>Tin</v>
      </c>
      <c r="C131" s="219" t="str">
        <f ca="1">IF(LEN(A131)=0,"",INDEX('Smelter Look-up'!$C:$C,MATCH($A131,'Smelter Look-up'!$E:$E,0)))</f>
        <v>Chenzhou Yunxiang Mining and Metallurgy Co., Ltd.</v>
      </c>
      <c r="D131" s="278"/>
      <c r="E131" s="215" t="str">
        <f ca="1">IF(ISERROR($V131),"",OFFSET('Smelter Look-up'!$D$4,$V131-4,0)&amp;"")</f>
        <v>CHINA</v>
      </c>
      <c r="F131" s="215" t="str">
        <f ca="1">IF(ISERROR($V131),"",OFFSET('Smelter Look-up'!$E$4,$V131-4,0))</f>
        <v>CID000228</v>
      </c>
      <c r="G131" s="215" t="str">
        <f ca="1">IF(C131=$X$4,"Enter smelter details",IF(ISERROR($V131),"",OFFSET('Smelter Look-up'!$F$4,$V131-4,0)))</f>
        <v>RMI</v>
      </c>
      <c r="H131" s="216">
        <f ca="1">IF(ISERROR($V131),"",OFFSET('Smelter Look-up'!$G$4,$V131-4,0))</f>
        <v>0</v>
      </c>
      <c r="I131" s="217" t="str">
        <f ca="1">IF(ISERROR($V131),"",OFFSET('Smelter Look-up'!$H$4,$V131-4,0))</f>
        <v>Chenzhou</v>
      </c>
      <c r="J131" s="217" t="str">
        <f ca="1">IF(ISERROR($V131),"",OFFSET('Smelter Look-up'!$I$4,$V131-4,0))</f>
        <v>Hunan Sheng</v>
      </c>
      <c r="K131" s="268"/>
      <c r="L131" s="268"/>
      <c r="M131" s="268"/>
      <c r="N131" s="268"/>
      <c r="O131" s="268"/>
      <c r="P131" s="218"/>
      <c r="Q131" s="269"/>
      <c r="R131" s="215" t="str">
        <f ca="1">IF(ISERROR($V131),"",OFFSET('Smelter Look-up'!$C$4,$V131-4,0)&amp;"")</f>
        <v>Chenzhou Yunxiang Mining and Metallurgy Co., Ltd.</v>
      </c>
      <c r="S131" s="222" t="str">
        <f t="shared" ca="1" si="15"/>
        <v>CN</v>
      </c>
      <c r="T131" s="222" t="str">
        <f ca="1">IF(B131="","",IF(ISERROR(MATCH($J131,SorP!$B$1:$B$6230,0)),"",INDIRECT("'SorP'!$A$"&amp;MATCH($J131,SorP!$B$1:$B$6230,0))))</f>
        <v>CN-HN</v>
      </c>
      <c r="U131" s="238"/>
      <c r="V131" s="270">
        <f ca="1">IF(C131="",NA(),MATCH($B131&amp;$C131,'Smelter Look-up'!$J:$J,0))</f>
        <v>392</v>
      </c>
      <c r="W131" s="271"/>
      <c r="X131" s="271">
        <f t="shared" ca="1" si="16"/>
        <v>0</v>
      </c>
      <c r="Y131" s="271"/>
      <c r="Z131" s="271"/>
      <c r="AB131" s="273" t="str">
        <f t="shared" ca="1" si="17"/>
        <v>TinChenzhou Yunxiang Mining and Metallurgy Co., Ltd.</v>
      </c>
    </row>
    <row r="132" spans="1:28" s="272" customFormat="1" ht="38.25">
      <c r="A132" s="214" t="s">
        <v>666</v>
      </c>
      <c r="B132" s="215" t="str">
        <f ca="1">IF(LEN(A132)=0,"",INDEX('Smelter Look-up'!$A:$A,MATCH($A132,'Smelter Look-up'!$E:$E,0)))</f>
        <v>Gold</v>
      </c>
      <c r="C132" s="219" t="str">
        <f ca="1">IF(LEN(A132)=0,"",INDEX('Smelter Look-up'!$C:$C,MATCH($A132,'Smelter Look-up'!$E:$E,0)))</f>
        <v>Chimet S.p.A.</v>
      </c>
      <c r="D132" s="278"/>
      <c r="E132" s="215" t="str">
        <f ca="1">IF(ISERROR($V132),"",OFFSET('Smelter Look-up'!$D$4,$V132-4,0)&amp;"")</f>
        <v>ITALY</v>
      </c>
      <c r="F132" s="215" t="str">
        <f ca="1">IF(ISERROR($V132),"",OFFSET('Smelter Look-up'!$E$4,$V132-4,0))</f>
        <v>CID000233</v>
      </c>
      <c r="G132" s="215" t="str">
        <f ca="1">IF(C132=$X$4,"Enter smelter details",IF(ISERROR($V132),"",OFFSET('Smelter Look-up'!$F$4,$V132-4,0)))</f>
        <v>RMI</v>
      </c>
      <c r="H132" s="216">
        <f ca="1">IF(ISERROR($V132),"",OFFSET('Smelter Look-up'!$G$4,$V132-4,0))</f>
        <v>0</v>
      </c>
      <c r="I132" s="217" t="str">
        <f ca="1">IF(ISERROR($V132),"",OFFSET('Smelter Look-up'!$H$4,$V132-4,0))</f>
        <v>Arezzo</v>
      </c>
      <c r="J132" s="217" t="str">
        <f ca="1">IF(ISERROR($V132),"",OFFSET('Smelter Look-up'!$I$4,$V132-4,0))</f>
        <v>Toscana</v>
      </c>
      <c r="K132" s="268"/>
      <c r="L132" s="268"/>
      <c r="M132" s="268"/>
      <c r="N132" s="268"/>
      <c r="O132" s="268"/>
      <c r="P132" s="218"/>
      <c r="Q132" s="269"/>
      <c r="R132" s="215" t="str">
        <f ca="1">IF(ISERROR($V132),"",OFFSET('Smelter Look-up'!$C$4,$V132-4,0)&amp;"")</f>
        <v>Chimet S.p.A.</v>
      </c>
      <c r="S132" s="222" t="str">
        <f t="shared" ref="S132" ca="1" si="18">IF(B132="","",IF(ISERROR(MATCH($E132,CL,0)),"Unknown",INDIRECT("'C'!$A$"&amp;MATCH($E132,CL,0)+1)))</f>
        <v>IT</v>
      </c>
      <c r="T132" s="222" t="str">
        <f ca="1">IF(B132="","",IF(ISERROR(MATCH($J132,SorP!$B$1:$B$6230,0)),"",INDIRECT("'SorP'!$A$"&amp;MATCH($J132,SorP!$B$1:$B$6230,0))))</f>
        <v>IT-52</v>
      </c>
      <c r="U132" s="238"/>
      <c r="V132" s="270">
        <f ca="1">IF(C132="",NA(),MATCH($B132&amp;$C132,'Smelter Look-up'!$J:$J,0))</f>
        <v>52</v>
      </c>
      <c r="W132" s="271"/>
      <c r="X132" s="271">
        <f t="shared" ref="X132" ca="1" si="19">IF(AND(C132="Smelter not listed",OR(LEN(D132)=0,LEN(E132)=0)),1,0)</f>
        <v>0</v>
      </c>
      <c r="Y132" s="271"/>
      <c r="Z132" s="271"/>
      <c r="AB132" s="273" t="str">
        <f t="shared" ref="AB132" ca="1" si="20">B132&amp;C132</f>
        <v>GoldChimet S.p.A.</v>
      </c>
    </row>
    <row r="133" spans="1:28" s="272" customFormat="1" ht="102">
      <c r="A133" s="214" t="s">
        <v>14024</v>
      </c>
      <c r="B133" s="215" t="str">
        <f ca="1">IF(LEN(A133)=0,"",INDEX('Smelter Look-up'!$A:$A,MATCH($A133,'Smelter Look-up'!$E:$E,0)))</f>
        <v>Tin</v>
      </c>
      <c r="C133" s="219" t="str">
        <f ca="1">IF(LEN(A133)=0,"",INDEX('Smelter Look-up'!$C:$C,MATCH($A133,'Smelter Look-up'!$E:$E,0)))</f>
        <v>Gejiu City Fuxiang Industry and Trade Co., Ltd.</v>
      </c>
      <c r="D133" s="278"/>
      <c r="E133" s="215" t="str">
        <f ca="1">IF(ISERROR($V133),"",OFFSET('Smelter Look-up'!$D$4,$V133-4,0)&amp;"")</f>
        <v>CHINA</v>
      </c>
      <c r="F133" s="215" t="str">
        <f ca="1">IF(ISERROR($V133),"",OFFSET('Smelter Look-up'!$E$4,$V133-4,0))</f>
        <v>CID003410</v>
      </c>
      <c r="G133" s="215" t="str">
        <f ca="1">IF(C133=$X$4,"Enter smelter details",IF(ISERROR($V133),"",OFFSET('Smelter Look-up'!$F$4,$V133-4,0)))</f>
        <v>RMI</v>
      </c>
      <c r="H133" s="216">
        <f ca="1">IF(ISERROR($V133),"",OFFSET('Smelter Look-up'!$G$4,$V133-4,0))</f>
        <v>0</v>
      </c>
      <c r="I133" s="217" t="str">
        <f ca="1">IF(ISERROR($V133),"",OFFSET('Smelter Look-up'!$H$4,$V133-4,0))</f>
        <v>Gejiu</v>
      </c>
      <c r="J133" s="217" t="str">
        <f ca="1">IF(ISERROR($V133),"",OFFSET('Smelter Look-up'!$I$4,$V133-4,0))</f>
        <v>Yunnan Sheng</v>
      </c>
      <c r="K133" s="268"/>
      <c r="L133" s="268"/>
      <c r="M133" s="268"/>
      <c r="N133" s="268"/>
      <c r="O133" s="268"/>
      <c r="P133" s="218"/>
      <c r="Q133" s="269"/>
      <c r="R133" s="215" t="str">
        <f ca="1">IF(ISERROR($V133),"",OFFSET('Smelter Look-up'!$C$4,$V133-4,0)&amp;"")</f>
        <v>Gejiu City Fuxiang Industry and Trade Co., Ltd.</v>
      </c>
      <c r="S133" s="222" t="str">
        <f t="shared" ref="S133:S164" ca="1" si="21">IF(B133="","",IF(ISERROR(MATCH($E133,CL,0)),"Unknown",INDIRECT("'C'!$A$"&amp;MATCH($E133,CL,0)+1)))</f>
        <v>CN</v>
      </c>
      <c r="T133" s="222" t="str">
        <f ca="1">IF(B133="","",IF(ISERROR(MATCH($J133,SorP!$B$1:$B$6230,0)),"",INDIRECT("'SorP'!$A$"&amp;MATCH($J133,SorP!$B$1:$B$6230,0))))</f>
        <v>CN-YN</v>
      </c>
      <c r="U133" s="238"/>
      <c r="V133" s="270">
        <f ca="1">IF(C133="",NA(),MATCH($B133&amp;$C133,'Smelter Look-up'!$J:$J,0))</f>
        <v>424</v>
      </c>
      <c r="W133" s="271"/>
      <c r="X133" s="271">
        <f t="shared" ref="X133:X164" ca="1" si="22">IF(AND(C133="Smelter not listed",OR(LEN(D133)=0,LEN(E133)=0)),1,0)</f>
        <v>0</v>
      </c>
      <c r="Y133" s="271"/>
      <c r="Z133" s="271"/>
      <c r="AB133" s="273" t="str">
        <f t="shared" ref="AB133:AB164" ca="1" si="23">B133&amp;C133</f>
        <v>TinGejiu City Fuxiang Industry and Trade Co., Ltd.</v>
      </c>
    </row>
    <row r="134" spans="1:28" s="272" customFormat="1" ht="153">
      <c r="A134" s="214" t="s">
        <v>683</v>
      </c>
      <c r="B134" s="215" t="str">
        <f ca="1">IF(LEN(A134)=0,"",INDEX('Smelter Look-up'!$A:$A,MATCH($A134,'Smelter Look-up'!$E:$E,0)))</f>
        <v>Gold</v>
      </c>
      <c r="C134" s="219" t="str">
        <f ca="1">IF(LEN(A134)=0,"",INDEX('Smelter Look-up'!$C:$C,MATCH($A134,'Smelter Look-up'!$E:$E,0)))</f>
        <v>Inner Mongolia Qiankun Gold and Silver Refinery Share Co., Ltd.</v>
      </c>
      <c r="D134" s="278"/>
      <c r="E134" s="215" t="str">
        <f ca="1">IF(ISERROR($V134),"",OFFSET('Smelter Look-up'!$D$4,$V134-4,0)&amp;"")</f>
        <v>CHINA</v>
      </c>
      <c r="F134" s="215" t="str">
        <f ca="1">IF(ISERROR($V134),"",OFFSET('Smelter Look-up'!$E$4,$V134-4,0))</f>
        <v>CID000801</v>
      </c>
      <c r="G134" s="215" t="str">
        <f ca="1">IF(C134=$X$4,"Enter smelter details",IF(ISERROR($V134),"",OFFSET('Smelter Look-up'!$F$4,$V134-4,0)))</f>
        <v>RMI</v>
      </c>
      <c r="H134" s="216">
        <f ca="1">IF(ISERROR($V134),"",OFFSET('Smelter Look-up'!$G$4,$V134-4,0))</f>
        <v>0</v>
      </c>
      <c r="I134" s="217" t="str">
        <f ca="1">IF(ISERROR($V134),"",OFFSET('Smelter Look-up'!$H$4,$V134-4,0))</f>
        <v>Hohhot</v>
      </c>
      <c r="J134" s="217" t="str">
        <f ca="1">IF(ISERROR($V134),"",OFFSET('Smelter Look-up'!$I$4,$V134-4,0))</f>
        <v>Nei Mongol Zizhiqu</v>
      </c>
      <c r="K134" s="268"/>
      <c r="L134" s="268"/>
      <c r="M134" s="268"/>
      <c r="N134" s="268"/>
      <c r="O134" s="268"/>
      <c r="P134" s="218"/>
      <c r="Q134" s="269"/>
      <c r="R134" s="215" t="str">
        <f ca="1">IF(ISERROR($V134),"",OFFSET('Smelter Look-up'!$C$4,$V134-4,0)&amp;"")</f>
        <v>Inner Mongolia Qiankun Gold and Silver Refinery Share Co., Ltd.</v>
      </c>
      <c r="S134" s="222" t="str">
        <f t="shared" ca="1" si="21"/>
        <v>CN</v>
      </c>
      <c r="T134" s="222" t="str">
        <f ca="1">IF(B134="","",IF(ISERROR(MATCH($J134,SorP!$B$1:$B$6230,0)),"",INDIRECT("'SorP'!$A$"&amp;MATCH($J134,SorP!$B$1:$B$6230,0))))</f>
        <v>CN-NM</v>
      </c>
      <c r="U134" s="238"/>
      <c r="V134" s="270">
        <f ca="1">IF(C134="",NA(),MATCH($B134&amp;$C134,'Smelter Look-up'!$J:$J,0))</f>
        <v>112</v>
      </c>
      <c r="W134" s="271"/>
      <c r="X134" s="271">
        <f t="shared" ca="1" si="22"/>
        <v>0</v>
      </c>
      <c r="Y134" s="271"/>
      <c r="Z134" s="271"/>
      <c r="AB134" s="273" t="str">
        <f t="shared" ca="1" si="23"/>
        <v>GoldInner Mongolia Qiankun Gold and Silver Refinery Share Co., Ltd.</v>
      </c>
    </row>
    <row r="135" spans="1:28" s="272" customFormat="1" ht="51">
      <c r="A135" s="214" t="s">
        <v>2342</v>
      </c>
      <c r="B135" s="215" t="str">
        <f ca="1">IF(LEN(A135)=0,"",INDEX('Smelter Look-up'!$A:$A,MATCH($A135,'Smelter Look-up'!$E:$E,0)))</f>
        <v>Gold</v>
      </c>
      <c r="C135" s="219" t="str">
        <f ca="1">IF(LEN(A135)=0,"",INDEX('Smelter Look-up'!$C:$C,MATCH($A135,'Smelter Look-up'!$E:$E,0)))</f>
        <v>REMONDIS PMR B.V.</v>
      </c>
      <c r="D135" s="278"/>
      <c r="E135" s="215" t="str">
        <f ca="1">IF(ISERROR($V135),"",OFFSET('Smelter Look-up'!$D$4,$V135-4,0)&amp;"")</f>
        <v>NETHERLANDS</v>
      </c>
      <c r="F135" s="215" t="str">
        <f ca="1">IF(ISERROR($V135),"",OFFSET('Smelter Look-up'!$E$4,$V135-4,0))</f>
        <v>CID002582</v>
      </c>
      <c r="G135" s="215" t="str">
        <f ca="1">IF(C135=$X$4,"Enter smelter details",IF(ISERROR($V135),"",OFFSET('Smelter Look-up'!$F$4,$V135-4,0)))</f>
        <v>RMI</v>
      </c>
      <c r="H135" s="216">
        <f ca="1">IF(ISERROR($V135),"",OFFSET('Smelter Look-up'!$G$4,$V135-4,0))</f>
        <v>0</v>
      </c>
      <c r="I135" s="217" t="str">
        <f ca="1">IF(ISERROR($V135),"",OFFSET('Smelter Look-up'!$H$4,$V135-4,0))</f>
        <v>Moerdijk</v>
      </c>
      <c r="J135" s="217" t="str">
        <f ca="1">IF(ISERROR($V135),"",OFFSET('Smelter Look-up'!$I$4,$V135-4,0))</f>
        <v>Noord-Brabant</v>
      </c>
      <c r="K135" s="268"/>
      <c r="L135" s="268"/>
      <c r="M135" s="268"/>
      <c r="N135" s="268"/>
      <c r="O135" s="268"/>
      <c r="P135" s="218"/>
      <c r="Q135" s="269"/>
      <c r="R135" s="215" t="str">
        <f ca="1">IF(ISERROR($V135),"",OFFSET('Smelter Look-up'!$C$4,$V135-4,0)&amp;"")</f>
        <v>REMONDIS PMR B.V.</v>
      </c>
      <c r="S135" s="222" t="str">
        <f t="shared" ca="1" si="21"/>
        <v>NL</v>
      </c>
      <c r="T135" s="222" t="str">
        <f ca="1">IF(B135="","",IF(ISERROR(MATCH($J135,SorP!$B$1:$B$6230,0)),"",INDIRECT("'SorP'!$A$"&amp;MATCH($J135,SorP!$B$1:$B$6230,0))))</f>
        <v>NL-NB</v>
      </c>
      <c r="U135" s="238"/>
      <c r="V135" s="270">
        <f ca="1">IF(C135="",NA(),MATCH($B135&amp;$C135,'Smelter Look-up'!$J:$J,0))</f>
        <v>214</v>
      </c>
      <c r="W135" s="271"/>
      <c r="X135" s="271">
        <f t="shared" ca="1" si="22"/>
        <v>0</v>
      </c>
      <c r="Y135" s="271"/>
      <c r="Z135" s="271"/>
      <c r="AB135" s="273" t="str">
        <f t="shared" ca="1" si="23"/>
        <v>GoldREMONDIS PMR B.V.</v>
      </c>
    </row>
    <row r="136" spans="1:28" s="272" customFormat="1" ht="51">
      <c r="A136" s="214" t="s">
        <v>14013</v>
      </c>
      <c r="B136" s="215" t="str">
        <f ca="1">IF(LEN(A136)=0,"",INDEX('Smelter Look-up'!$A:$A,MATCH($A136,'Smelter Look-up'!$E:$E,0)))</f>
        <v>Gold</v>
      </c>
      <c r="C136" s="219" t="str">
        <f ca="1">IF(LEN(A136)=0,"",INDEX('Smelter Look-up'!$C:$C,MATCH($A136,'Smelter Look-up'!$E:$E,0)))</f>
        <v>Fujairah Gold FZC</v>
      </c>
      <c r="D136" s="278"/>
      <c r="E136" s="215" t="str">
        <f ca="1">IF(ISERROR($V136),"",OFFSET('Smelter Look-up'!$D$4,$V136-4,0)&amp;"")</f>
        <v>UNITED ARAB EMIRATES</v>
      </c>
      <c r="F136" s="215" t="str">
        <f ca="1">IF(ISERROR($V136),"",OFFSET('Smelter Look-up'!$E$4,$V136-4,0))</f>
        <v>CID002584</v>
      </c>
      <c r="G136" s="215" t="str">
        <f ca="1">IF(C136=$X$4,"Enter smelter details",IF(ISERROR($V136),"",OFFSET('Smelter Look-up'!$F$4,$V136-4,0)))</f>
        <v>RMI</v>
      </c>
      <c r="H136" s="216">
        <f ca="1">IF(ISERROR($V136),"",OFFSET('Smelter Look-up'!$G$4,$V136-4,0))</f>
        <v>0</v>
      </c>
      <c r="I136" s="217" t="str">
        <f ca="1">IF(ISERROR($V136),"",OFFSET('Smelter Look-up'!$H$4,$V136-4,0))</f>
        <v>Fujairah</v>
      </c>
      <c r="J136" s="217" t="str">
        <f ca="1">IF(ISERROR($V136),"",OFFSET('Smelter Look-up'!$I$4,$V136-4,0))</f>
        <v>Al Fujayrah</v>
      </c>
      <c r="K136" s="268"/>
      <c r="L136" s="268"/>
      <c r="M136" s="268"/>
      <c r="N136" s="268"/>
      <c r="O136" s="268"/>
      <c r="P136" s="218"/>
      <c r="Q136" s="269"/>
      <c r="R136" s="215" t="str">
        <f ca="1">IF(ISERROR($V136),"",OFFSET('Smelter Look-up'!$C$4,$V136-4,0)&amp;"")</f>
        <v>Fujairah Gold FZC</v>
      </c>
      <c r="S136" s="222" t="str">
        <f t="shared" ca="1" si="21"/>
        <v>AE</v>
      </c>
      <c r="T136" s="222" t="str">
        <f ca="1">IF(B136="","",IF(ISERROR(MATCH($J136,SorP!$B$1:$B$6230,0)),"",INDIRECT("'SorP'!$A$"&amp;MATCH($J136,SorP!$B$1:$B$6230,0))))</f>
        <v>AE-FU</v>
      </c>
      <c r="U136" s="238"/>
      <c r="V136" s="270">
        <f ca="1">IF(C136="",NA(),MATCH($B136&amp;$C136,'Smelter Look-up'!$J:$J,0))</f>
        <v>82</v>
      </c>
      <c r="W136" s="271"/>
      <c r="X136" s="271">
        <f t="shared" ca="1" si="22"/>
        <v>0</v>
      </c>
      <c r="Y136" s="271"/>
      <c r="Z136" s="271"/>
      <c r="AB136" s="273" t="str">
        <f t="shared" ca="1" si="23"/>
        <v>GoldFujairah Gold FZC</v>
      </c>
    </row>
    <row r="137" spans="1:28" s="272" customFormat="1" ht="63.75">
      <c r="A137" s="214" t="s">
        <v>2281</v>
      </c>
      <c r="B137" s="215" t="str">
        <f ca="1">IF(LEN(A137)=0,"",INDEX('Smelter Look-up'!$A:$A,MATCH($A137,'Smelter Look-up'!$E:$E,0)))</f>
        <v>Gold</v>
      </c>
      <c r="C137" s="219" t="str">
        <f ca="1">IF(LEN(A137)=0,"",INDEX('Smelter Look-up'!$C:$C,MATCH($A137,'Smelter Look-up'!$E:$E,0)))</f>
        <v>Industrial Refining Company</v>
      </c>
      <c r="D137" s="278"/>
      <c r="E137" s="215" t="str">
        <f ca="1">IF(ISERROR($V137),"",OFFSET('Smelter Look-up'!$D$4,$V137-4,0)&amp;"")</f>
        <v>BELGIUM</v>
      </c>
      <c r="F137" s="215" t="str">
        <f ca="1">IF(ISERROR($V137),"",OFFSET('Smelter Look-up'!$E$4,$V137-4,0))</f>
        <v>CID002587</v>
      </c>
      <c r="G137" s="215" t="str">
        <f ca="1">IF(C137=$X$4,"Enter smelter details",IF(ISERROR($V137),"",OFFSET('Smelter Look-up'!$F$4,$V137-4,0)))</f>
        <v>RMI</v>
      </c>
      <c r="H137" s="216">
        <f ca="1">IF(ISERROR($V137),"",OFFSET('Smelter Look-up'!$G$4,$V137-4,0))</f>
        <v>0</v>
      </c>
      <c r="I137" s="217" t="str">
        <f ca="1">IF(ISERROR($V137),"",OFFSET('Smelter Look-up'!$H$4,$V137-4,0))</f>
        <v>Antwerp</v>
      </c>
      <c r="J137" s="217" t="str">
        <f ca="1">IF(ISERROR($V137),"",OFFSET('Smelter Look-up'!$I$4,$V137-4,0))</f>
        <v>Antwerpen</v>
      </c>
      <c r="K137" s="268"/>
      <c r="L137" s="268"/>
      <c r="M137" s="268"/>
      <c r="N137" s="268"/>
      <c r="O137" s="268"/>
      <c r="P137" s="218"/>
      <c r="Q137" s="269"/>
      <c r="R137" s="215" t="str">
        <f ca="1">IF(ISERROR($V137),"",OFFSET('Smelter Look-up'!$C$4,$V137-4,0)&amp;"")</f>
        <v>Industrial Refining Company</v>
      </c>
      <c r="S137" s="222" t="str">
        <f t="shared" ca="1" si="21"/>
        <v>BE</v>
      </c>
      <c r="T137" s="222" t="str">
        <f ca="1">IF(B137="","",IF(ISERROR(MATCH($J137,SorP!$B$1:$B$6230,0)),"",INDIRECT("'SorP'!$A$"&amp;MATCH($J137,SorP!$B$1:$B$6230,0))))</f>
        <v>BE-VAN</v>
      </c>
      <c r="U137" s="238"/>
      <c r="V137" s="270">
        <f ca="1">IF(C137="",NA(),MATCH($B137&amp;$C137,'Smelter Look-up'!$J:$J,0))</f>
        <v>111</v>
      </c>
      <c r="W137" s="271"/>
      <c r="X137" s="271">
        <f t="shared" ca="1" si="22"/>
        <v>0</v>
      </c>
      <c r="Y137" s="271"/>
      <c r="Z137" s="271"/>
      <c r="AB137" s="273" t="str">
        <f t="shared" ca="1" si="23"/>
        <v>GoldIndustrial Refining Company</v>
      </c>
    </row>
    <row r="138" spans="1:28" s="272" customFormat="1" ht="38.25">
      <c r="A138" s="214" t="s">
        <v>2541</v>
      </c>
      <c r="B138" s="215" t="str">
        <f ca="1">IF(LEN(A138)=0,"",INDEX('Smelter Look-up'!$A:$A,MATCH($A138,'Smelter Look-up'!$E:$E,0)))</f>
        <v>Gold</v>
      </c>
      <c r="C138" s="219" t="str">
        <f ca="1">IF(LEN(A138)=0,"",INDEX('Smelter Look-up'!$C:$C,MATCH($A138,'Smelter Look-up'!$E:$E,0)))</f>
        <v>Marsam Metals</v>
      </c>
      <c r="D138" s="278"/>
      <c r="E138" s="215" t="str">
        <f ca="1">IF(ISERROR($V138),"",OFFSET('Smelter Look-up'!$D$4,$V138-4,0)&amp;"")</f>
        <v>BRAZIL</v>
      </c>
      <c r="F138" s="215" t="str">
        <f ca="1">IF(ISERROR($V138),"",OFFSET('Smelter Look-up'!$E$4,$V138-4,0))</f>
        <v>CID002606</v>
      </c>
      <c r="G138" s="215" t="str">
        <f ca="1">IF(C138=$X$4,"Enter smelter details",IF(ISERROR($V138),"",OFFSET('Smelter Look-up'!$F$4,$V138-4,0)))</f>
        <v>RMI</v>
      </c>
      <c r="H138" s="216">
        <f ca="1">IF(ISERROR($V138),"",OFFSET('Smelter Look-up'!$G$4,$V138-4,0))</f>
        <v>0</v>
      </c>
      <c r="I138" s="217" t="str">
        <f ca="1">IF(ISERROR($V138),"",OFFSET('Smelter Look-up'!$H$4,$V138-4,0))</f>
        <v>Sao Paulo</v>
      </c>
      <c r="J138" s="217" t="str">
        <f ca="1">IF(ISERROR($V138),"",OFFSET('Smelter Look-up'!$I$4,$V138-4,0))</f>
        <v>São Paulo</v>
      </c>
      <c r="K138" s="268"/>
      <c r="L138" s="268"/>
      <c r="M138" s="268"/>
      <c r="N138" s="268"/>
      <c r="O138" s="268"/>
      <c r="P138" s="218"/>
      <c r="Q138" s="269"/>
      <c r="R138" s="215" t="str">
        <f ca="1">IF(ISERROR($V138),"",OFFSET('Smelter Look-up'!$C$4,$V138-4,0)&amp;"")</f>
        <v>Marsam Metals</v>
      </c>
      <c r="S138" s="222" t="str">
        <f t="shared" ca="1" si="21"/>
        <v>BR</v>
      </c>
      <c r="T138" s="222" t="str">
        <f ca="1">IF(B138="","",IF(ISERROR(MATCH($J138,SorP!$B$1:$B$6230,0)),"",INDIRECT("'SorP'!$A$"&amp;MATCH($J138,SorP!$B$1:$B$6230,0))))</f>
        <v>BR-SP</v>
      </c>
      <c r="U138" s="238"/>
      <c r="V138" s="270">
        <f ca="1">IF(C138="",NA(),MATCH($B138&amp;$C138,'Smelter Look-up'!$J:$J,0))</f>
        <v>158</v>
      </c>
      <c r="W138" s="271"/>
      <c r="X138" s="271">
        <f t="shared" ca="1" si="22"/>
        <v>0</v>
      </c>
      <c r="Y138" s="271"/>
      <c r="Z138" s="271"/>
      <c r="AB138" s="273" t="str">
        <f t="shared" ca="1" si="23"/>
        <v>GoldMarsam Metals</v>
      </c>
    </row>
    <row r="139" spans="1:28" s="272" customFormat="1" ht="51">
      <c r="A139" s="214" t="s">
        <v>15404</v>
      </c>
      <c r="B139" s="215" t="str">
        <f ca="1">IF(LEN(A139)=0,"",INDEX('Smelter Look-up'!$A:$A,MATCH($A139,'Smelter Look-up'!$E:$E,0)))</f>
        <v>Tin</v>
      </c>
      <c r="C139" s="219" t="str">
        <f ca="1">IF(LEN(A139)=0,"",INDEX('Smelter Look-up'!$C:$C,MATCH($A139,'Smelter Look-up'!$E:$E,0)))</f>
        <v>PT Rajawali Rimba Perkasa</v>
      </c>
      <c r="D139" s="278"/>
      <c r="E139" s="215" t="str">
        <f ca="1">IF(ISERROR($V139),"",OFFSET('Smelter Look-up'!$D$4,$V139-4,0)&amp;"")</f>
        <v>INDONESIA</v>
      </c>
      <c r="F139" s="215" t="str">
        <f ca="1">IF(ISERROR($V139),"",OFFSET('Smelter Look-up'!$E$4,$V139-4,0))</f>
        <v>CID003381</v>
      </c>
      <c r="G139" s="215" t="str">
        <f ca="1">IF(C139=$X$4,"Enter smelter details",IF(ISERROR($V139),"",OFFSET('Smelter Look-up'!$F$4,$V139-4,0)))</f>
        <v>RMI</v>
      </c>
      <c r="H139" s="216">
        <f ca="1">IF(ISERROR($V139),"",OFFSET('Smelter Look-up'!$G$4,$V139-4,0))</f>
        <v>0</v>
      </c>
      <c r="I139" s="217" t="str">
        <f ca="1">IF(ISERROR($V139),"",OFFSET('Smelter Look-up'!$H$4,$V139-4,0))</f>
        <v>Tukak Sadai</v>
      </c>
      <c r="J139" s="217" t="str">
        <f ca="1">IF(ISERROR($V139),"",OFFSET('Smelter Look-up'!$I$4,$V139-4,0))</f>
        <v>Kepulauan Bangka Belitung</v>
      </c>
      <c r="K139" s="268"/>
      <c r="L139" s="268"/>
      <c r="M139" s="268"/>
      <c r="N139" s="268"/>
      <c r="O139" s="268"/>
      <c r="P139" s="218"/>
      <c r="Q139" s="269"/>
      <c r="R139" s="215" t="str">
        <f ca="1">IF(ISERROR($V139),"",OFFSET('Smelter Look-up'!$C$4,$V139-4,0)&amp;"")</f>
        <v>PT Rajawali Rimba Perkasa</v>
      </c>
      <c r="S139" s="222" t="str">
        <f t="shared" ca="1" si="21"/>
        <v>ID</v>
      </c>
      <c r="T139" s="222" t="str">
        <f ca="1">IF(B139="","",IF(ISERROR(MATCH($J139,SorP!$B$1:$B$6230,0)),"",INDIRECT("'SorP'!$A$"&amp;MATCH($J139,SorP!$B$1:$B$6230,0))))</f>
        <v>ID-BB</v>
      </c>
      <c r="U139" s="238"/>
      <c r="V139" s="270">
        <f ca="1">IF(C139="",NA(),MATCH($B139&amp;$C139,'Smelter Look-up'!$J:$J,0))</f>
        <v>485</v>
      </c>
      <c r="W139" s="271"/>
      <c r="X139" s="271">
        <f t="shared" ca="1" si="22"/>
        <v>0</v>
      </c>
      <c r="Y139" s="271"/>
      <c r="Z139" s="271"/>
      <c r="AB139" s="273" t="str">
        <f t="shared" ca="1" si="23"/>
        <v>TinPT Rajawali Rimba Perkasa</v>
      </c>
    </row>
    <row r="140" spans="1:28" s="272" customFormat="1" ht="51">
      <c r="A140" s="356" t="s">
        <v>14009</v>
      </c>
      <c r="B140" s="215" t="str">
        <f ca="1">IF(LEN(A140)=0,"",INDEX('Smelter Look-up'!$A:$A,MATCH($A140,'Smelter Look-up'!$E:$E,0)))</f>
        <v>Gold</v>
      </c>
      <c r="C140" s="219" t="str">
        <f ca="1">IF(LEN(A140)=0,"",INDEX('Smelter Look-up'!$C:$C,MATCH($A140,'Smelter Look-up'!$E:$E,0)))</f>
        <v>CGR Metalloys Pvt Ltd.</v>
      </c>
      <c r="D140" s="278"/>
      <c r="E140" s="215" t="str">
        <f ca="1">IF(ISERROR($V140),"",OFFSET('Smelter Look-up'!$D$4,$V140-4,0)&amp;"")</f>
        <v>INDIA</v>
      </c>
      <c r="F140" s="215" t="str">
        <f ca="1">IF(ISERROR($V140),"",OFFSET('Smelter Look-up'!$E$4,$V140-4,0))</f>
        <v>CID003382</v>
      </c>
      <c r="G140" s="215" t="str">
        <f ca="1">IF(C140=$X$4,"Enter smelter details",IF(ISERROR($V140),"",OFFSET('Smelter Look-up'!$F$4,$V140-4,0)))</f>
        <v>RMI</v>
      </c>
      <c r="H140" s="216">
        <f ca="1">IF(ISERROR($V140),"",OFFSET('Smelter Look-up'!$G$4,$V140-4,0))</f>
        <v>0</v>
      </c>
      <c r="I140" s="217" t="str">
        <f ca="1">IF(ISERROR($V140),"",OFFSET('Smelter Look-up'!$H$4,$V140-4,0))</f>
        <v>Cochin</v>
      </c>
      <c r="J140" s="217" t="str">
        <f ca="1">IF(ISERROR($V140),"",OFFSET('Smelter Look-up'!$I$4,$V140-4,0))</f>
        <v>Kerala</v>
      </c>
      <c r="K140" s="268"/>
      <c r="L140" s="268"/>
      <c r="M140" s="268"/>
      <c r="N140" s="268"/>
      <c r="O140" s="268"/>
      <c r="P140" s="218"/>
      <c r="Q140" s="269"/>
      <c r="R140" s="215" t="str">
        <f ca="1">IF(ISERROR($V140),"",OFFSET('Smelter Look-up'!$C$4,$V140-4,0)&amp;"")</f>
        <v>CGR Metalloys Pvt Ltd.</v>
      </c>
      <c r="S140" s="222" t="str">
        <f t="shared" ca="1" si="21"/>
        <v>IN</v>
      </c>
      <c r="T140" s="222" t="str">
        <f ca="1">IF(B140="","",IF(ISERROR(MATCH($J140,SorP!$B$1:$B$6230,0)),"",INDIRECT("'SorP'!$A$"&amp;MATCH($J140,SorP!$B$1:$B$6230,0))))</f>
        <v>IN-KL</v>
      </c>
      <c r="U140" s="238"/>
      <c r="V140" s="270">
        <f ca="1">IF(C140="",NA(),MATCH($B140&amp;$C140,'Smelter Look-up'!$J:$J,0))</f>
        <v>49</v>
      </c>
      <c r="W140" s="271"/>
      <c r="X140" s="271">
        <f t="shared" ca="1" si="22"/>
        <v>0</v>
      </c>
      <c r="Y140" s="271"/>
      <c r="Z140" s="271"/>
      <c r="AB140" s="273" t="str">
        <f t="shared" ca="1" si="23"/>
        <v>GoldCGR Metalloys Pvt Ltd.</v>
      </c>
    </row>
    <row r="141" spans="1:28" s="272" customFormat="1" ht="38.25">
      <c r="A141" s="214" t="s">
        <v>14020</v>
      </c>
      <c r="B141" s="215" t="str">
        <f ca="1">IF(LEN(A141)=0,"",INDEX('Smelter Look-up'!$A:$A,MATCH($A141,'Smelter Look-up'!$E:$E,0)))</f>
        <v>Gold</v>
      </c>
      <c r="C141" s="219" t="str">
        <f ca="1">IF(LEN(A141)=0,"",INDEX('Smelter Look-up'!$C:$C,MATCH($A141,'Smelter Look-up'!$E:$E,0)))</f>
        <v>Sovereign Metals</v>
      </c>
      <c r="D141" s="278"/>
      <c r="E141" s="215" t="str">
        <f ca="1">IF(ISERROR($V141),"",OFFSET('Smelter Look-up'!$D$4,$V141-4,0)&amp;"")</f>
        <v>INDIA</v>
      </c>
      <c r="F141" s="215" t="str">
        <f ca="1">IF(ISERROR($V141),"",OFFSET('Smelter Look-up'!$E$4,$V141-4,0))</f>
        <v>CID003383</v>
      </c>
      <c r="G141" s="215" t="str">
        <f ca="1">IF(C141=$X$4,"Enter smelter details",IF(ISERROR($V141),"",OFFSET('Smelter Look-up'!$F$4,$V141-4,0)))</f>
        <v>RMI</v>
      </c>
      <c r="H141" s="216">
        <f ca="1">IF(ISERROR($V141),"",OFFSET('Smelter Look-up'!$G$4,$V141-4,0))</f>
        <v>0</v>
      </c>
      <c r="I141" s="217" t="str">
        <f ca="1">IF(ISERROR($V141),"",OFFSET('Smelter Look-up'!$H$4,$V141-4,0))</f>
        <v>Ahmedab</v>
      </c>
      <c r="J141" s="217" t="str">
        <f ca="1">IF(ISERROR($V141),"",OFFSET('Smelter Look-up'!$I$4,$V141-4,0))</f>
        <v>Gujarat</v>
      </c>
      <c r="K141" s="268"/>
      <c r="L141" s="268"/>
      <c r="M141" s="268"/>
      <c r="N141" s="268"/>
      <c r="O141" s="268"/>
      <c r="P141" s="218"/>
      <c r="Q141" s="269"/>
      <c r="R141" s="215" t="str">
        <f ca="1">IF(ISERROR($V141),"",OFFSET('Smelter Look-up'!$C$4,$V141-4,0)&amp;"")</f>
        <v>Sovereign Metals</v>
      </c>
      <c r="S141" s="222" t="str">
        <f t="shared" ca="1" si="21"/>
        <v>IN</v>
      </c>
      <c r="T141" s="222" t="str">
        <f ca="1">IF(B141="","",IF(ISERROR(MATCH($J141,SorP!$B$1:$B$6230,0)),"",INDIRECT("'SorP'!$A$"&amp;MATCH($J141,SorP!$B$1:$B$6230,0))))</f>
        <v>IN-GJ</v>
      </c>
      <c r="U141" s="238"/>
      <c r="V141" s="270">
        <f ca="1">IF(C141="",NA(),MATCH($B141&amp;$C141,'Smelter Look-up'!$J:$J,0))</f>
        <v>255</v>
      </c>
      <c r="W141" s="271"/>
      <c r="X141" s="271">
        <f t="shared" ca="1" si="22"/>
        <v>0</v>
      </c>
      <c r="Y141" s="271"/>
      <c r="Z141" s="271"/>
      <c r="AB141" s="273" t="str">
        <f t="shared" ca="1" si="23"/>
        <v>GoldSovereign Metals</v>
      </c>
    </row>
    <row r="142" spans="1:28" s="272" customFormat="1" ht="38.25">
      <c r="A142" s="214" t="s">
        <v>14108</v>
      </c>
      <c r="B142" s="215" t="str">
        <f ca="1">IF(LEN(A142)=0,"",INDEX('Smelter Look-up'!$A:$A,MATCH($A142,'Smelter Look-up'!$E:$E,0)))</f>
        <v>Tin</v>
      </c>
      <c r="C142" s="219" t="str">
        <f ca="1">IF(LEN(A142)=0,"",INDEX('Smelter Look-up'!$C:$C,MATCH($A142,'Smelter Look-up'!$E:$E,0)))</f>
        <v>Luna Smelter, Ltd.</v>
      </c>
      <c r="D142" s="278"/>
      <c r="E142" s="215" t="str">
        <f ca="1">IF(ISERROR($V142),"",OFFSET('Smelter Look-up'!$D$4,$V142-4,0)&amp;"")</f>
        <v>RWANDA</v>
      </c>
      <c r="F142" s="215" t="str">
        <f ca="1">IF(ISERROR($V142),"",OFFSET('Smelter Look-up'!$E$4,$V142-4,0))</f>
        <v>CID003387</v>
      </c>
      <c r="G142" s="215" t="str">
        <f ca="1">IF(C142=$X$4,"Enter smelter details",IF(ISERROR($V142),"",OFFSET('Smelter Look-up'!$F$4,$V142-4,0)))</f>
        <v>RMI</v>
      </c>
      <c r="H142" s="216">
        <f ca="1">IF(ISERROR($V142),"",OFFSET('Smelter Look-up'!$G$4,$V142-4,0))</f>
        <v>0</v>
      </c>
      <c r="I142" s="217" t="str">
        <f ca="1">IF(ISERROR($V142),"",OFFSET('Smelter Look-up'!$H$4,$V142-4,0))</f>
        <v>Kigali</v>
      </c>
      <c r="J142" s="217" t="str">
        <f ca="1">IF(ISERROR($V142),"",OFFSET('Smelter Look-up'!$I$4,$V142-4,0))</f>
        <v>City of Kigali</v>
      </c>
      <c r="K142" s="268"/>
      <c r="L142" s="268"/>
      <c r="M142" s="268"/>
      <c r="N142" s="268"/>
      <c r="O142" s="268"/>
      <c r="P142" s="218"/>
      <c r="Q142" s="269"/>
      <c r="R142" s="215" t="str">
        <f ca="1">IF(ISERROR($V142),"",OFFSET('Smelter Look-up'!$C$4,$V142-4,0)&amp;"")</f>
        <v>Luna Smelter, Ltd.</v>
      </c>
      <c r="S142" s="222" t="str">
        <f t="shared" ca="1" si="21"/>
        <v>RW</v>
      </c>
      <c r="T142" s="222" t="str">
        <f ca="1">IF(B142="","",IF(ISERROR(MATCH($J142,SorP!$B$1:$B$6230,0)),"",INDIRECT("'SorP'!$A$"&amp;MATCH($J142,SorP!$B$1:$B$6230,0))))</f>
        <v>RW-01</v>
      </c>
      <c r="U142" s="238"/>
      <c r="V142" s="270">
        <f ca="1">IF(C142="",NA(),MATCH($B142&amp;$C142,'Smelter Look-up'!$J:$J,0))</f>
        <v>446</v>
      </c>
      <c r="W142" s="271"/>
      <c r="X142" s="271">
        <f t="shared" ca="1" si="22"/>
        <v>0</v>
      </c>
      <c r="Y142" s="271"/>
      <c r="Z142" s="271"/>
      <c r="AB142" s="273" t="str">
        <f t="shared" ca="1" si="23"/>
        <v>TinLuna Smelter, Ltd.</v>
      </c>
    </row>
    <row r="143" spans="1:28" s="272" customFormat="1" ht="63.75">
      <c r="A143" s="356" t="s">
        <v>14028</v>
      </c>
      <c r="B143" s="215" t="str">
        <f ca="1">IF(LEN(A143)=0,"",INDEX('Smelter Look-up'!$A:$A,MATCH($A143,'Smelter Look-up'!$E:$E,0)))</f>
        <v>Tin</v>
      </c>
      <c r="C143" s="219" t="str">
        <f ca="1">IF(LEN(A143)=0,"",INDEX('Smelter Look-up'!$C:$C,MATCH($A143,'Smelter Look-up'!$E:$E,0)))</f>
        <v>Ma'anshan Weitai Tin Co., Ltd.</v>
      </c>
      <c r="D143" s="278"/>
      <c r="E143" s="215" t="str">
        <f ca="1">IF(ISERROR($V143),"",OFFSET('Smelter Look-up'!$D$4,$V143-4,0)&amp;"")</f>
        <v>CHINA</v>
      </c>
      <c r="F143" s="215" t="str">
        <f ca="1">IF(ISERROR($V143),"",OFFSET('Smelter Look-up'!$E$4,$V143-4,0))</f>
        <v>CID003379</v>
      </c>
      <c r="G143" s="215" t="str">
        <f ca="1">IF(C143=$X$4,"Enter smelter details",IF(ISERROR($V143),"",OFFSET('Smelter Look-up'!$F$4,$V143-4,0)))</f>
        <v>RMI</v>
      </c>
      <c r="H143" s="216">
        <f ca="1">IF(ISERROR($V143),"",OFFSET('Smelter Look-up'!$G$4,$V143-4,0))</f>
        <v>0</v>
      </c>
      <c r="I143" s="217" t="str">
        <f ca="1">IF(ISERROR($V143),"",OFFSET('Smelter Look-up'!$H$4,$V143-4,0))</f>
        <v>Maanshan</v>
      </c>
      <c r="J143" s="217" t="str">
        <f ca="1">IF(ISERROR($V143),"",OFFSET('Smelter Look-up'!$I$4,$V143-4,0))</f>
        <v>Anhui Sheng</v>
      </c>
      <c r="K143" s="268"/>
      <c r="L143" s="268"/>
      <c r="M143" s="268"/>
      <c r="N143" s="268"/>
      <c r="O143" s="268"/>
      <c r="P143" s="218"/>
      <c r="Q143" s="269"/>
      <c r="R143" s="215" t="str">
        <f ca="1">IF(ISERROR($V143),"",OFFSET('Smelter Look-up'!$C$4,$V143-4,0)&amp;"")</f>
        <v>Ma'anshan Weitai Tin Co., Ltd.</v>
      </c>
      <c r="S143" s="222" t="str">
        <f t="shared" ca="1" si="21"/>
        <v>CN</v>
      </c>
      <c r="T143" s="222" t="str">
        <f ca="1">IF(B143="","",IF(ISERROR(MATCH($J143,SorP!$B$1:$B$6230,0)),"",INDIRECT("'SorP'!$A$"&amp;MATCH($J143,SorP!$B$1:$B$6230,0))))</f>
        <v>CN-AH</v>
      </c>
      <c r="U143" s="238"/>
      <c r="V143" s="270">
        <f ca="1">IF(C143="",NA(),MATCH($B143&amp;$C143,'Smelter Look-up'!$J:$J,0))</f>
        <v>447</v>
      </c>
      <c r="W143" s="271"/>
      <c r="X143" s="271">
        <f t="shared" ca="1" si="22"/>
        <v>0</v>
      </c>
      <c r="Y143" s="271"/>
      <c r="Z143" s="271"/>
      <c r="AB143" s="273" t="str">
        <f t="shared" ca="1" si="23"/>
        <v>TinMa'anshan Weitai Tin Co., Ltd.</v>
      </c>
    </row>
    <row r="144" spans="1:28" s="272" customFormat="1" ht="51">
      <c r="A144" s="356" t="s">
        <v>678</v>
      </c>
      <c r="B144" s="215" t="str">
        <f ca="1">IF(LEN(A144)=0,"",INDEX('Smelter Look-up'!$A:$A,MATCH($A144,'Smelter Look-up'!$E:$E,0)))</f>
        <v>Gold</v>
      </c>
      <c r="C144" s="219" t="str">
        <f ca="1">IF(LEN(A144)=0,"",INDEX('Smelter Look-up'!$C:$C,MATCH($A144,'Smelter Look-up'!$E:$E,0)))</f>
        <v>Heimerle + Meule GmbH</v>
      </c>
      <c r="D144" s="278"/>
      <c r="E144" s="215" t="str">
        <f ca="1">IF(ISERROR($V144),"",OFFSET('Smelter Look-up'!$D$4,$V144-4,0)&amp;"")</f>
        <v>GERMANY</v>
      </c>
      <c r="F144" s="215" t="str">
        <f ca="1">IF(ISERROR($V144),"",OFFSET('Smelter Look-up'!$E$4,$V144-4,0))</f>
        <v>CID000694</v>
      </c>
      <c r="G144" s="215" t="str">
        <f ca="1">IF(C144=$X$4,"Enter smelter details",IF(ISERROR($V144),"",OFFSET('Smelter Look-up'!$F$4,$V144-4,0)))</f>
        <v>RMI</v>
      </c>
      <c r="H144" s="216">
        <f ca="1">IF(ISERROR($V144),"",OFFSET('Smelter Look-up'!$G$4,$V144-4,0))</f>
        <v>0</v>
      </c>
      <c r="I144" s="217" t="str">
        <f ca="1">IF(ISERROR($V144),"",OFFSET('Smelter Look-up'!$H$4,$V144-4,0))</f>
        <v>Pforzheim</v>
      </c>
      <c r="J144" s="217" t="str">
        <f ca="1">IF(ISERROR($V144),"",OFFSET('Smelter Look-up'!$I$4,$V144-4,0))</f>
        <v>Baden-Württemberg</v>
      </c>
      <c r="K144" s="268"/>
      <c r="L144" s="268"/>
      <c r="M144" s="268"/>
      <c r="N144" s="268"/>
      <c r="O144" s="268"/>
      <c r="P144" s="218"/>
      <c r="Q144" s="269"/>
      <c r="R144" s="215" t="str">
        <f ca="1">IF(ISERROR($V144),"",OFFSET('Smelter Look-up'!$C$4,$V144-4,0)&amp;"")</f>
        <v>Heimerle + Meule GmbH</v>
      </c>
      <c r="S144" s="222" t="str">
        <f t="shared" ca="1" si="21"/>
        <v>DE</v>
      </c>
      <c r="T144" s="222" t="str">
        <f ca="1">IF(B144="","",IF(ISERROR(MATCH($J144,SorP!$B$1:$B$6230,0)),"",INDIRECT("'SorP'!$A$"&amp;MATCH($J144,SorP!$B$1:$B$6230,0))))</f>
        <v>DE-BW</v>
      </c>
      <c r="U144" s="238"/>
      <c r="V144" s="270">
        <f ca="1">IF(C144="",NA(),MATCH($B144&amp;$C144,'Smelter Look-up'!$J:$J,0))</f>
        <v>97</v>
      </c>
      <c r="W144" s="271"/>
      <c r="X144" s="271">
        <f t="shared" ca="1" si="22"/>
        <v>0</v>
      </c>
      <c r="Y144" s="271"/>
      <c r="Z144" s="271"/>
      <c r="AB144" s="273" t="str">
        <f t="shared" ca="1" si="23"/>
        <v>GoldHeimerle + Meule GmbH</v>
      </c>
    </row>
    <row r="145" spans="1:28" s="272" customFormat="1" ht="76.5">
      <c r="A145" s="356" t="s">
        <v>681</v>
      </c>
      <c r="B145" s="215" t="str">
        <f ca="1">IF(LEN(A145)=0,"",INDEX('Smelter Look-up'!$A:$A,MATCH($A145,'Smelter Look-up'!$E:$E,0)))</f>
        <v>Gold</v>
      </c>
      <c r="C145" s="219" t="str">
        <f ca="1">IF(LEN(A145)=0,"",INDEX('Smelter Look-up'!$C:$C,MATCH($A145,'Smelter Look-up'!$E:$E,0)))</f>
        <v>Hunan Chenzhou Mining Co., Ltd.</v>
      </c>
      <c r="D145" s="278"/>
      <c r="E145" s="215" t="str">
        <f ca="1">IF(ISERROR($V145),"",OFFSET('Smelter Look-up'!$D$4,$V145-4,0)&amp;"")</f>
        <v>CHINA</v>
      </c>
      <c r="F145" s="215" t="str">
        <f ca="1">IF(ISERROR($V145),"",OFFSET('Smelter Look-up'!$E$4,$V145-4,0))</f>
        <v>CID000767</v>
      </c>
      <c r="G145" s="215" t="str">
        <f ca="1">IF(C145=$X$4,"Enter smelter details",IF(ISERROR($V145),"",OFFSET('Smelter Look-up'!$F$4,$V145-4,0)))</f>
        <v>RMI</v>
      </c>
      <c r="H145" s="216">
        <f ca="1">IF(ISERROR($V145),"",OFFSET('Smelter Look-up'!$G$4,$V145-4,0))</f>
        <v>0</v>
      </c>
      <c r="I145" s="217" t="str">
        <f ca="1">IF(ISERROR($V145),"",OFFSET('Smelter Look-up'!$H$4,$V145-4,0))</f>
        <v>Yuanling</v>
      </c>
      <c r="J145" s="217" t="str">
        <f ca="1">IF(ISERROR($V145),"",OFFSET('Smelter Look-up'!$I$4,$V145-4,0))</f>
        <v>Hunan Sheng</v>
      </c>
      <c r="K145" s="268"/>
      <c r="L145" s="268"/>
      <c r="M145" s="268"/>
      <c r="N145" s="268"/>
      <c r="O145" s="268"/>
      <c r="P145" s="218"/>
      <c r="Q145" s="269"/>
      <c r="R145" s="215" t="str">
        <f ca="1">IF(ISERROR($V145),"",OFFSET('Smelter Look-up'!$C$4,$V145-4,0)&amp;"")</f>
        <v>Hunan Chenzhou Mining Co., Ltd.</v>
      </c>
      <c r="S145" s="222" t="str">
        <f t="shared" ca="1" si="21"/>
        <v>CN</v>
      </c>
      <c r="T145" s="222" t="str">
        <f ca="1">IF(B145="","",IF(ISERROR(MATCH($J145,SorP!$B$1:$B$6230,0)),"",INDIRECT("'SorP'!$A$"&amp;MATCH($J145,SorP!$B$1:$B$6230,0))))</f>
        <v>CN-HN</v>
      </c>
      <c r="U145" s="238"/>
      <c r="V145" s="270">
        <f ca="1">IF(C145="",NA(),MATCH($B145&amp;$C145,'Smelter Look-up'!$J:$J,0))</f>
        <v>105</v>
      </c>
      <c r="W145" s="271"/>
      <c r="X145" s="271">
        <f t="shared" ca="1" si="22"/>
        <v>0</v>
      </c>
      <c r="Y145" s="271"/>
      <c r="Z145" s="271"/>
      <c r="AB145" s="273" t="str">
        <f t="shared" ca="1" si="23"/>
        <v>GoldHunan Chenzhou Mining Co., Ltd.</v>
      </c>
    </row>
    <row r="146" spans="1:28" s="272" customFormat="1" ht="38.25">
      <c r="A146" s="356" t="s">
        <v>667</v>
      </c>
      <c r="B146" s="215" t="str">
        <f ca="1">IF(LEN(A146)=0,"",INDEX('Smelter Look-up'!$A:$A,MATCH($A146,'Smelter Look-up'!$E:$E,0)))</f>
        <v>Gold</v>
      </c>
      <c r="C146" s="219" t="str">
        <f ca="1">IF(LEN(A146)=0,"",INDEX('Smelter Look-up'!$C:$C,MATCH($A146,'Smelter Look-up'!$E:$E,0)))</f>
        <v>Chugai Mining</v>
      </c>
      <c r="D146" s="278"/>
      <c r="E146" s="215" t="str">
        <f ca="1">IF(ISERROR($V146),"",OFFSET('Smelter Look-up'!$D$4,$V146-4,0)&amp;"")</f>
        <v>JAPAN</v>
      </c>
      <c r="F146" s="215" t="str">
        <f ca="1">IF(ISERROR($V146),"",OFFSET('Smelter Look-up'!$E$4,$V146-4,0))</f>
        <v>CID000264</v>
      </c>
      <c r="G146" s="215" t="str">
        <f ca="1">IF(C146=$X$4,"Enter smelter details",IF(ISERROR($V146),"",OFFSET('Smelter Look-up'!$F$4,$V146-4,0)))</f>
        <v>RMI</v>
      </c>
      <c r="H146" s="216">
        <f ca="1">IF(ISERROR($V146),"",OFFSET('Smelter Look-up'!$G$4,$V146-4,0))</f>
        <v>0</v>
      </c>
      <c r="I146" s="217" t="str">
        <f ca="1">IF(ISERROR($V146),"",OFFSET('Smelter Look-up'!$H$4,$V146-4,0))</f>
        <v>Chiyoda</v>
      </c>
      <c r="J146" s="217" t="str">
        <f ca="1">IF(ISERROR($V146),"",OFFSET('Smelter Look-up'!$I$4,$V146-4,0))</f>
        <v>Tokyo</v>
      </c>
      <c r="K146" s="268"/>
      <c r="L146" s="268"/>
      <c r="M146" s="268"/>
      <c r="N146" s="268"/>
      <c r="O146" s="268"/>
      <c r="P146" s="218"/>
      <c r="Q146" s="269"/>
      <c r="R146" s="215" t="str">
        <f ca="1">IF(ISERROR($V146),"",OFFSET('Smelter Look-up'!$C$4,$V146-4,0)&amp;"")</f>
        <v>Chugai Mining</v>
      </c>
      <c r="S146" s="222" t="str">
        <f t="shared" ca="1" si="21"/>
        <v>JP</v>
      </c>
      <c r="T146" s="222" t="str">
        <f ca="1">IF(B146="","",IF(ISERROR(MATCH($J146,SorP!$B$1:$B$6230,0)),"",INDIRECT("'SorP'!$A$"&amp;MATCH($J146,SorP!$B$1:$B$6230,0))))</f>
        <v>JP-13</v>
      </c>
      <c r="U146" s="238"/>
      <c r="V146" s="270">
        <f ca="1">IF(C146="",NA(),MATCH($B146&amp;$C146,'Smelter Look-up'!$J:$J,0))</f>
        <v>55</v>
      </c>
      <c r="W146" s="271"/>
      <c r="X146" s="271">
        <f t="shared" ca="1" si="22"/>
        <v>0</v>
      </c>
      <c r="Y146" s="271"/>
      <c r="Z146" s="271"/>
      <c r="AB146" s="273" t="str">
        <f t="shared" ca="1" si="23"/>
        <v>GoldChugai Mining</v>
      </c>
    </row>
    <row r="147" spans="1:28" s="272" customFormat="1" ht="89.25">
      <c r="A147" s="356" t="s">
        <v>771</v>
      </c>
      <c r="B147" s="215" t="str">
        <f ca="1">IF(LEN(A147)=0,"",INDEX('Smelter Look-up'!$A:$A,MATCH($A147,'Smelter Look-up'!$E:$E,0)))</f>
        <v>Tin</v>
      </c>
      <c r="C147" s="219" t="str">
        <f ca="1">IF(LEN(A147)=0,"",INDEX('Smelter Look-up'!$C:$C,MATCH($A147,'Smelter Look-up'!$E:$E,0)))</f>
        <v>Gejiu Zili Mining And Metallurgy Co., Ltd.</v>
      </c>
      <c r="D147" s="278"/>
      <c r="E147" s="215" t="str">
        <f ca="1">IF(ISERROR($V147),"",OFFSET('Smelter Look-up'!$D$4,$V147-4,0)&amp;"")</f>
        <v>CHINA</v>
      </c>
      <c r="F147" s="215" t="str">
        <f ca="1">IF(ISERROR($V147),"",OFFSET('Smelter Look-up'!$E$4,$V147-4,0))</f>
        <v>CID000555</v>
      </c>
      <c r="G147" s="215" t="str">
        <f ca="1">IF(C147=$X$4,"Enter smelter details",IF(ISERROR($V147),"",OFFSET('Smelter Look-up'!$F$4,$V147-4,0)))</f>
        <v>RMI</v>
      </c>
      <c r="H147" s="216">
        <f ca="1">IF(ISERROR($V147),"",OFFSET('Smelter Look-up'!$G$4,$V147-4,0))</f>
        <v>0</v>
      </c>
      <c r="I147" s="217" t="str">
        <f ca="1">IF(ISERROR($V147),"",OFFSET('Smelter Look-up'!$H$4,$V147-4,0))</f>
        <v>Gejiu</v>
      </c>
      <c r="J147" s="217" t="str">
        <f ca="1">IF(ISERROR($V147),"",OFFSET('Smelter Look-up'!$I$4,$V147-4,0))</f>
        <v>Yunnan Sheng</v>
      </c>
      <c r="K147" s="268"/>
      <c r="L147" s="268"/>
      <c r="M147" s="268"/>
      <c r="N147" s="268"/>
      <c r="O147" s="268"/>
      <c r="P147" s="218"/>
      <c r="Q147" s="269"/>
      <c r="R147" s="215" t="str">
        <f ca="1">IF(ISERROR($V147),"",OFFSET('Smelter Look-up'!$C$4,$V147-4,0)&amp;"")</f>
        <v>Gejiu Zili Mining And Metallurgy Co., Ltd.</v>
      </c>
      <c r="S147" s="222" t="str">
        <f t="shared" ca="1" si="21"/>
        <v>CN</v>
      </c>
      <c r="T147" s="222" t="str">
        <f ca="1">IF(B147="","",IF(ISERROR(MATCH($J147,SorP!$B$1:$B$6230,0)),"",INDIRECT("'SorP'!$A$"&amp;MATCH($J147,SorP!$B$1:$B$6230,0))))</f>
        <v>CN-YN</v>
      </c>
      <c r="U147" s="238"/>
      <c r="V147" s="270">
        <f ca="1">IF(C147="",NA(),MATCH($B147&amp;$C147,'Smelter Look-up'!$J:$J,0))</f>
        <v>431</v>
      </c>
      <c r="W147" s="271"/>
      <c r="X147" s="271">
        <f t="shared" ca="1" si="22"/>
        <v>0</v>
      </c>
      <c r="Y147" s="271"/>
      <c r="Z147" s="271"/>
      <c r="AB147" s="273" t="str">
        <f t="shared" ca="1" si="23"/>
        <v>TinGejiu Zili Mining And Metallurgy Co., Ltd.</v>
      </c>
    </row>
    <row r="148" spans="1:28" s="272" customFormat="1" ht="51">
      <c r="A148" s="356" t="s">
        <v>685</v>
      </c>
      <c r="B148" s="215" t="str">
        <f ca="1">IF(LEN(A148)=0,"",INDEX('Smelter Look-up'!$A:$A,MATCH($A148,'Smelter Look-up'!$E:$E,0)))</f>
        <v>Gold</v>
      </c>
      <c r="C148" s="219" t="str">
        <f ca="1">IF(LEN(A148)=0,"",INDEX('Smelter Look-up'!$C:$C,MATCH($A148,'Smelter Look-up'!$E:$E,0)))</f>
        <v>Istanbul Gold Refinery</v>
      </c>
      <c r="D148" s="278"/>
      <c r="E148" s="215" t="str">
        <f ca="1">IF(ISERROR($V148),"",OFFSET('Smelter Look-up'!$D$4,$V148-4,0)&amp;"")</f>
        <v>TURKEY</v>
      </c>
      <c r="F148" s="215" t="str">
        <f ca="1">IF(ISERROR($V148),"",OFFSET('Smelter Look-up'!$E$4,$V148-4,0))</f>
        <v>CID000814</v>
      </c>
      <c r="G148" s="215" t="str">
        <f ca="1">IF(C148=$X$4,"Enter smelter details",IF(ISERROR($V148),"",OFFSET('Smelter Look-up'!$F$4,$V148-4,0)))</f>
        <v>RMI</v>
      </c>
      <c r="H148" s="216">
        <f ca="1">IF(ISERROR($V148),"",OFFSET('Smelter Look-up'!$G$4,$V148-4,0))</f>
        <v>0</v>
      </c>
      <c r="I148" s="217" t="str">
        <f ca="1">IF(ISERROR($V148),"",OFFSET('Smelter Look-up'!$H$4,$V148-4,0))</f>
        <v>Kuyumcukent</v>
      </c>
      <c r="J148" s="217" t="str">
        <f ca="1">IF(ISERROR($V148),"",OFFSET('Smelter Look-up'!$I$4,$V148-4,0))</f>
        <v>İstanbul</v>
      </c>
      <c r="K148" s="268"/>
      <c r="L148" s="268"/>
      <c r="M148" s="268"/>
      <c r="N148" s="268"/>
      <c r="O148" s="268"/>
      <c r="P148" s="218"/>
      <c r="Q148" s="269"/>
      <c r="R148" s="215" t="str">
        <f ca="1">IF(ISERROR($V148),"",OFFSET('Smelter Look-up'!$C$4,$V148-4,0)&amp;"")</f>
        <v>Istanbul Gold Refinery</v>
      </c>
      <c r="S148" s="222" t="str">
        <f t="shared" ca="1" si="21"/>
        <v>TR</v>
      </c>
      <c r="T148" s="222" t="str">
        <f ca="1">IF(B148="","",IF(ISERROR(MATCH($J148,SorP!$B$1:$B$6230,0)),"",INDIRECT("'SorP'!$A$"&amp;MATCH($J148,SorP!$B$1:$B$6230,0))))</f>
        <v>TR-34</v>
      </c>
      <c r="U148" s="238"/>
      <c r="V148" s="270">
        <f ca="1">IF(C148="",NA(),MATCH($B148&amp;$C148,'Smelter Look-up'!$J:$J,0))</f>
        <v>115</v>
      </c>
      <c r="W148" s="271"/>
      <c r="X148" s="271">
        <f t="shared" ca="1" si="22"/>
        <v>0</v>
      </c>
      <c r="Y148" s="271"/>
      <c r="Z148" s="271"/>
      <c r="AB148" s="273" t="str">
        <f t="shared" ca="1" si="23"/>
        <v>GoldIstanbul Gold Refinery</v>
      </c>
    </row>
    <row r="149" spans="1:28" s="272" customFormat="1" ht="76.5">
      <c r="A149" s="356" t="s">
        <v>684</v>
      </c>
      <c r="B149" s="215" t="str">
        <f ca="1">IF(LEN(A149)=0,"",INDEX('Smelter Look-up'!$A:$A,MATCH($A149,'Smelter Look-up'!$E:$E,0)))</f>
        <v>Gold</v>
      </c>
      <c r="C149" s="219" t="str">
        <f ca="1">IF(LEN(A149)=0,"",INDEX('Smelter Look-up'!$C:$C,MATCH($A149,'Smelter Look-up'!$E:$E,0)))</f>
        <v>Ishifuku Metal Industry Co., Ltd.</v>
      </c>
      <c r="D149" s="278"/>
      <c r="E149" s="215" t="str">
        <f ca="1">IF(ISERROR($V149),"",OFFSET('Smelter Look-up'!$D$4,$V149-4,0)&amp;"")</f>
        <v>JAPAN</v>
      </c>
      <c r="F149" s="215" t="str">
        <f ca="1">IF(ISERROR($V149),"",OFFSET('Smelter Look-up'!$E$4,$V149-4,0))</f>
        <v>CID000807</v>
      </c>
      <c r="G149" s="215" t="str">
        <f ca="1">IF(C149=$X$4,"Enter smelter details",IF(ISERROR($V149),"",OFFSET('Smelter Look-up'!$F$4,$V149-4,0)))</f>
        <v>RMI</v>
      </c>
      <c r="H149" s="216">
        <f ca="1">IF(ISERROR($V149),"",OFFSET('Smelter Look-up'!$G$4,$V149-4,0))</f>
        <v>0</v>
      </c>
      <c r="I149" s="217" t="str">
        <f ca="1">IF(ISERROR($V149),"",OFFSET('Smelter Look-up'!$H$4,$V149-4,0))</f>
        <v>Soka</v>
      </c>
      <c r="J149" s="217" t="str">
        <f ca="1">IF(ISERROR($V149),"",OFFSET('Smelter Look-up'!$I$4,$V149-4,0))</f>
        <v>Saitama</v>
      </c>
      <c r="K149" s="268"/>
      <c r="L149" s="268"/>
      <c r="M149" s="268"/>
      <c r="N149" s="268"/>
      <c r="O149" s="268"/>
      <c r="P149" s="218"/>
      <c r="Q149" s="269"/>
      <c r="R149" s="215" t="str">
        <f ca="1">IF(ISERROR($V149),"",OFFSET('Smelter Look-up'!$C$4,$V149-4,0)&amp;"")</f>
        <v>Ishifuku Metal Industry Co., Ltd.</v>
      </c>
      <c r="S149" s="222" t="str">
        <f t="shared" ca="1" si="21"/>
        <v>JP</v>
      </c>
      <c r="T149" s="222" t="str">
        <f ca="1">IF(B149="","",IF(ISERROR(MATCH($J149,SorP!$B$1:$B$6230,0)),"",INDIRECT("'SorP'!$A$"&amp;MATCH($J149,SorP!$B$1:$B$6230,0))))</f>
        <v>JP-11</v>
      </c>
      <c r="U149" s="238"/>
      <c r="V149" s="270">
        <f ca="1">IF(C149="",NA(),MATCH($B149&amp;$C149,'Smelter Look-up'!$J:$J,0))</f>
        <v>114</v>
      </c>
      <c r="W149" s="271"/>
      <c r="X149" s="271">
        <f t="shared" ca="1" si="22"/>
        <v>0</v>
      </c>
      <c r="Y149" s="271"/>
      <c r="Z149" s="271"/>
      <c r="AB149" s="273" t="str">
        <f t="shared" ca="1" si="23"/>
        <v>GoldIshifuku Metal Industry Co., Ltd.</v>
      </c>
    </row>
    <row r="150" spans="1:28" s="272" customFormat="1" ht="63.75">
      <c r="A150" s="356" t="s">
        <v>687</v>
      </c>
      <c r="B150" s="215" t="str">
        <f ca="1">IF(LEN(A150)=0,"",INDEX('Smelter Look-up'!$A:$A,MATCH($A150,'Smelter Look-up'!$E:$E,0)))</f>
        <v>Gold</v>
      </c>
      <c r="C150" s="219" t="str">
        <f ca="1">IF(LEN(A150)=0,"",INDEX('Smelter Look-up'!$C:$C,MATCH($A150,'Smelter Look-up'!$E:$E,0)))</f>
        <v>Jiangxi Copper Co., Ltd.</v>
      </c>
      <c r="D150" s="278"/>
      <c r="E150" s="215" t="str">
        <f ca="1">IF(ISERROR($V150),"",OFFSET('Smelter Look-up'!$D$4,$V150-4,0)&amp;"")</f>
        <v>CHINA</v>
      </c>
      <c r="F150" s="215" t="str">
        <f ca="1">IF(ISERROR($V150),"",OFFSET('Smelter Look-up'!$E$4,$V150-4,0))</f>
        <v>CID000855</v>
      </c>
      <c r="G150" s="215" t="str">
        <f ca="1">IF(C150=$X$4,"Enter smelter details",IF(ISERROR($V150),"",OFFSET('Smelter Look-up'!$F$4,$V150-4,0)))</f>
        <v>RMI</v>
      </c>
      <c r="H150" s="216">
        <f ca="1">IF(ISERROR($V150),"",OFFSET('Smelter Look-up'!$G$4,$V150-4,0))</f>
        <v>0</v>
      </c>
      <c r="I150" s="217" t="str">
        <f ca="1">IF(ISERROR($V150),"",OFFSET('Smelter Look-up'!$H$4,$V150-4,0))</f>
        <v>Guixi City</v>
      </c>
      <c r="J150" s="217" t="str">
        <f ca="1">IF(ISERROR($V150),"",OFFSET('Smelter Look-up'!$I$4,$V150-4,0))</f>
        <v>Jiangxi Sheng</v>
      </c>
      <c r="K150" s="268"/>
      <c r="L150" s="268"/>
      <c r="M150" s="268"/>
      <c r="N150" s="268"/>
      <c r="O150" s="268"/>
      <c r="P150" s="218"/>
      <c r="Q150" s="269"/>
      <c r="R150" s="215" t="str">
        <f ca="1">IF(ISERROR($V150),"",OFFSET('Smelter Look-up'!$C$4,$V150-4,0)&amp;"")</f>
        <v>Jiangxi Copper Co., Ltd.</v>
      </c>
      <c r="S150" s="222" t="str">
        <f t="shared" ca="1" si="21"/>
        <v>CN</v>
      </c>
      <c r="T150" s="222" t="str">
        <f ca="1">IF(B150="","",IF(ISERROR(MATCH($J150,SorP!$B$1:$B$6230,0)),"",INDIRECT("'SorP'!$A$"&amp;MATCH($J150,SorP!$B$1:$B$6230,0))))</f>
        <v>CN-JX</v>
      </c>
      <c r="U150" s="238"/>
      <c r="V150" s="270">
        <f ca="1">IF(C150="",NA(),MATCH($B150&amp;$C150,'Smelter Look-up'!$J:$J,0))</f>
        <v>120</v>
      </c>
      <c r="W150" s="271"/>
      <c r="X150" s="271">
        <f t="shared" ca="1" si="22"/>
        <v>0</v>
      </c>
      <c r="Y150" s="271"/>
      <c r="Z150" s="271"/>
      <c r="AB150" s="273" t="str">
        <f t="shared" ca="1" si="23"/>
        <v>GoldJiangxi Copper Co., Ltd.</v>
      </c>
    </row>
    <row r="151" spans="1:28" s="272" customFormat="1" ht="63.75">
      <c r="A151" s="356" t="s">
        <v>1390</v>
      </c>
      <c r="B151" s="215" t="str">
        <f ca="1">IF(LEN(A151)=0,"",INDEX('Smelter Look-up'!$A:$A,MATCH($A151,'Smelter Look-up'!$E:$E,0)))</f>
        <v>Gold</v>
      </c>
      <c r="C151" s="219" t="str">
        <f ca="1">IF(LEN(A151)=0,"",INDEX('Smelter Look-up'!$C:$C,MATCH($A151,'Smelter Look-up'!$E:$E,0)))</f>
        <v>Lingbao Gold Co., Ltd.</v>
      </c>
      <c r="D151" s="278"/>
      <c r="E151" s="215" t="str">
        <f ca="1">IF(ISERROR($V151),"",OFFSET('Smelter Look-up'!$D$4,$V151-4,0)&amp;"")</f>
        <v>CHINA</v>
      </c>
      <c r="F151" s="215" t="str">
        <f ca="1">IF(ISERROR($V151),"",OFFSET('Smelter Look-up'!$E$4,$V151-4,0))</f>
        <v>CID001056</v>
      </c>
      <c r="G151" s="215" t="str">
        <f ca="1">IF(C151=$X$4,"Enter smelter details",IF(ISERROR($V151),"",OFFSET('Smelter Look-up'!$F$4,$V151-4,0)))</f>
        <v>RMI</v>
      </c>
      <c r="H151" s="216">
        <f ca="1">IF(ISERROR($V151),"",OFFSET('Smelter Look-up'!$G$4,$V151-4,0))</f>
        <v>0</v>
      </c>
      <c r="I151" s="217" t="str">
        <f ca="1">IF(ISERROR($V151),"",OFFSET('Smelter Look-up'!$H$4,$V151-4,0))</f>
        <v>Lingbao</v>
      </c>
      <c r="J151" s="217" t="str">
        <f ca="1">IF(ISERROR($V151),"",OFFSET('Smelter Look-up'!$I$4,$V151-4,0))</f>
        <v>Henan Sheng</v>
      </c>
      <c r="K151" s="268"/>
      <c r="L151" s="268"/>
      <c r="M151" s="268"/>
      <c r="N151" s="268"/>
      <c r="O151" s="268"/>
      <c r="P151" s="218"/>
      <c r="Q151" s="269"/>
      <c r="R151" s="215" t="str">
        <f ca="1">IF(ISERROR($V151),"",OFFSET('Smelter Look-up'!$C$4,$V151-4,0)&amp;"")</f>
        <v>Lingbao Gold Co., Ltd.</v>
      </c>
      <c r="S151" s="222" t="str">
        <f t="shared" ca="1" si="21"/>
        <v>CN</v>
      </c>
      <c r="T151" s="222" t="str">
        <f ca="1">IF(B151="","",IF(ISERROR(MATCH($J151,SorP!$B$1:$B$6230,0)),"",INDIRECT("'SorP'!$A$"&amp;MATCH($J151,SorP!$B$1:$B$6230,0))))</f>
        <v>CN-HA</v>
      </c>
      <c r="U151" s="238"/>
      <c r="V151" s="270">
        <f ca="1">IF(C151="",NA(),MATCH($B151&amp;$C151,'Smelter Look-up'!$J:$J,0))</f>
        <v>150</v>
      </c>
      <c r="W151" s="271"/>
      <c r="X151" s="271">
        <f t="shared" ca="1" si="22"/>
        <v>0</v>
      </c>
      <c r="Y151" s="271"/>
      <c r="Z151" s="271"/>
      <c r="AB151" s="273" t="str">
        <f t="shared" ca="1" si="23"/>
        <v>GoldLingbao Gold Co., Ltd.</v>
      </c>
    </row>
    <row r="152" spans="1:28" s="272" customFormat="1" ht="89.25">
      <c r="A152" s="356" t="s">
        <v>699</v>
      </c>
      <c r="B152" s="215" t="str">
        <f ca="1">IF(LEN(A152)=0,"",INDEX('Smelter Look-up'!$A:$A,MATCH($A152,'Smelter Look-up'!$E:$E,0)))</f>
        <v>Gold</v>
      </c>
      <c r="C152" s="219" t="str">
        <f ca="1">IF(LEN(A152)=0,"",INDEX('Smelter Look-up'!$C:$C,MATCH($A152,'Smelter Look-up'!$E:$E,0)))</f>
        <v>Lingbao Jinyuan Tonghui Refinery Co., Ltd.</v>
      </c>
      <c r="D152" s="278"/>
      <c r="E152" s="215" t="str">
        <f ca="1">IF(ISERROR($V152),"",OFFSET('Smelter Look-up'!$D$4,$V152-4,0)&amp;"")</f>
        <v>CHINA</v>
      </c>
      <c r="F152" s="215" t="str">
        <f ca="1">IF(ISERROR($V152),"",OFFSET('Smelter Look-up'!$E$4,$V152-4,0))</f>
        <v>CID001058</v>
      </c>
      <c r="G152" s="215" t="str">
        <f ca="1">IF(C152=$X$4,"Enter smelter details",IF(ISERROR($V152),"",OFFSET('Smelter Look-up'!$F$4,$V152-4,0)))</f>
        <v>RMI</v>
      </c>
      <c r="H152" s="216">
        <f ca="1">IF(ISERROR($V152),"",OFFSET('Smelter Look-up'!$G$4,$V152-4,0))</f>
        <v>0</v>
      </c>
      <c r="I152" s="217" t="str">
        <f ca="1">IF(ISERROR($V152),"",OFFSET('Smelter Look-up'!$H$4,$V152-4,0))</f>
        <v>Lingbao</v>
      </c>
      <c r="J152" s="217" t="str">
        <f ca="1">IF(ISERROR($V152),"",OFFSET('Smelter Look-up'!$I$4,$V152-4,0))</f>
        <v>Henan Sheng</v>
      </c>
      <c r="K152" s="268"/>
      <c r="L152" s="268"/>
      <c r="M152" s="268"/>
      <c r="N152" s="268"/>
      <c r="O152" s="268"/>
      <c r="P152" s="218"/>
      <c r="Q152" s="269"/>
      <c r="R152" s="215" t="str">
        <f ca="1">IF(ISERROR($V152),"",OFFSET('Smelter Look-up'!$C$4,$V152-4,0)&amp;"")</f>
        <v>Lingbao Jinyuan Tonghui Refinery Co., Ltd.</v>
      </c>
      <c r="S152" s="222" t="str">
        <f t="shared" ca="1" si="21"/>
        <v>CN</v>
      </c>
      <c r="T152" s="222" t="str">
        <f ca="1">IF(B152="","",IF(ISERROR(MATCH($J152,SorP!$B$1:$B$6230,0)),"",INDIRECT("'SorP'!$A$"&amp;MATCH($J152,SorP!$B$1:$B$6230,0))))</f>
        <v>CN-HA</v>
      </c>
      <c r="U152" s="238"/>
      <c r="V152" s="270">
        <f ca="1">IF(C152="",NA(),MATCH($B152&amp;$C152,'Smelter Look-up'!$J:$J,0))</f>
        <v>151</v>
      </c>
      <c r="W152" s="271"/>
      <c r="X152" s="271">
        <f t="shared" ca="1" si="22"/>
        <v>0</v>
      </c>
      <c r="Y152" s="271"/>
      <c r="Z152" s="271"/>
      <c r="AB152" s="273" t="str">
        <f t="shared" ca="1" si="23"/>
        <v>GoldLingbao Jinyuan Tonghui Refinery Co., Ltd.</v>
      </c>
    </row>
    <row r="153" spans="1:28" s="272" customFormat="1" ht="25.5">
      <c r="A153" s="356" t="s">
        <v>703</v>
      </c>
      <c r="B153" s="215" t="str">
        <f ca="1">IF(LEN(A153)=0,"",INDEX('Smelter Look-up'!$A:$A,MATCH($A153,'Smelter Look-up'!$E:$E,0)))</f>
        <v>Gold</v>
      </c>
      <c r="C153" s="219" t="str">
        <f ca="1">IF(LEN(A153)=0,"",INDEX('Smelter Look-up'!$C:$C,MATCH($A153,'Smelter Look-up'!$E:$E,0)))</f>
        <v>Materion</v>
      </c>
      <c r="D153" s="278"/>
      <c r="E153" s="215" t="str">
        <f ca="1">IF(ISERROR($V153),"",OFFSET('Smelter Look-up'!$D$4,$V153-4,0)&amp;"")</f>
        <v>UNITED STATES OF AMERICA</v>
      </c>
      <c r="F153" s="215" t="str">
        <f ca="1">IF(ISERROR($V153),"",OFFSET('Smelter Look-up'!$E$4,$V153-4,0))</f>
        <v>CID001113</v>
      </c>
      <c r="G153" s="215" t="str">
        <f ca="1">IF(C153=$X$4,"Enter smelter details",IF(ISERROR($V153),"",OFFSET('Smelter Look-up'!$F$4,$V153-4,0)))</f>
        <v>RMI</v>
      </c>
      <c r="H153" s="216">
        <f ca="1">IF(ISERROR($V153),"",OFFSET('Smelter Look-up'!$G$4,$V153-4,0))</f>
        <v>0</v>
      </c>
      <c r="I153" s="217" t="str">
        <f ca="1">IF(ISERROR($V153),"",OFFSET('Smelter Look-up'!$H$4,$V153-4,0))</f>
        <v>Buffalo</v>
      </c>
      <c r="J153" s="217" t="str">
        <f ca="1">IF(ISERROR($V153),"",OFFSET('Smelter Look-up'!$I$4,$V153-4,0))</f>
        <v>New York</v>
      </c>
      <c r="K153" s="268"/>
      <c r="L153" s="268"/>
      <c r="M153" s="268"/>
      <c r="N153" s="268"/>
      <c r="O153" s="268"/>
      <c r="P153" s="218"/>
      <c r="Q153" s="269"/>
      <c r="R153" s="215" t="str">
        <f ca="1">IF(ISERROR($V153),"",OFFSET('Smelter Look-up'!$C$4,$V153-4,0)&amp;"")</f>
        <v>Materion</v>
      </c>
      <c r="S153" s="222" t="str">
        <f t="shared" ca="1" si="21"/>
        <v>US</v>
      </c>
      <c r="T153" s="222" t="str">
        <f ca="1">IF(B153="","",IF(ISERROR(MATCH($J153,SorP!$B$1:$B$6230,0)),"",INDIRECT("'SorP'!$A$"&amp;MATCH($J153,SorP!$B$1:$B$6230,0))))</f>
        <v>US-NY</v>
      </c>
      <c r="U153" s="238"/>
      <c r="V153" s="270">
        <f ca="1">IF(C153="",NA(),MATCH($B153&amp;$C153,'Smelter Look-up'!$J:$J,0))</f>
        <v>159</v>
      </c>
      <c r="W153" s="271"/>
      <c r="X153" s="271">
        <f t="shared" ca="1" si="22"/>
        <v>0</v>
      </c>
      <c r="Y153" s="271"/>
      <c r="Z153" s="271"/>
      <c r="AB153" s="273" t="str">
        <f t="shared" ca="1" si="23"/>
        <v>GoldMaterion</v>
      </c>
    </row>
    <row r="154" spans="1:28" s="272" customFormat="1" ht="63.75">
      <c r="A154" s="356" t="s">
        <v>704</v>
      </c>
      <c r="B154" s="215" t="str">
        <f ca="1">IF(LEN(A154)=0,"",INDEX('Smelter Look-up'!$A:$A,MATCH($A154,'Smelter Look-up'!$E:$E,0)))</f>
        <v>Gold</v>
      </c>
      <c r="C154" s="219" t="str">
        <f ca="1">IF(LEN(A154)=0,"",INDEX('Smelter Look-up'!$C:$C,MATCH($A154,'Smelter Look-up'!$E:$E,0)))</f>
        <v>Matsuda Sangyo Co., Ltd.</v>
      </c>
      <c r="D154" s="278"/>
      <c r="E154" s="215" t="str">
        <f ca="1">IF(ISERROR($V154),"",OFFSET('Smelter Look-up'!$D$4,$V154-4,0)&amp;"")</f>
        <v>JAPAN</v>
      </c>
      <c r="F154" s="215" t="str">
        <f ca="1">IF(ISERROR($V154),"",OFFSET('Smelter Look-up'!$E$4,$V154-4,0))</f>
        <v>CID001119</v>
      </c>
      <c r="G154" s="215" t="str">
        <f ca="1">IF(C154=$X$4,"Enter smelter details",IF(ISERROR($V154),"",OFFSET('Smelter Look-up'!$F$4,$V154-4,0)))</f>
        <v>RMI</v>
      </c>
      <c r="H154" s="216">
        <f ca="1">IF(ISERROR($V154),"",OFFSET('Smelter Look-up'!$G$4,$V154-4,0))</f>
        <v>0</v>
      </c>
      <c r="I154" s="217" t="str">
        <f ca="1">IF(ISERROR($V154),"",OFFSET('Smelter Look-up'!$H$4,$V154-4,0))</f>
        <v>Iruma</v>
      </c>
      <c r="J154" s="217" t="str">
        <f ca="1">IF(ISERROR($V154),"",OFFSET('Smelter Look-up'!$I$4,$V154-4,0))</f>
        <v>Saitama</v>
      </c>
      <c r="K154" s="268"/>
      <c r="L154" s="268"/>
      <c r="M154" s="268"/>
      <c r="N154" s="268"/>
      <c r="O154" s="268"/>
      <c r="P154" s="218"/>
      <c r="Q154" s="269"/>
      <c r="R154" s="215" t="str">
        <f ca="1">IF(ISERROR($V154),"",OFFSET('Smelter Look-up'!$C$4,$V154-4,0)&amp;"")</f>
        <v>Matsuda Sangyo Co., Ltd.</v>
      </c>
      <c r="S154" s="222" t="str">
        <f t="shared" ca="1" si="21"/>
        <v>JP</v>
      </c>
      <c r="T154" s="222" t="str">
        <f ca="1">IF(B154="","",IF(ISERROR(MATCH($J154,SorP!$B$1:$B$6230,0)),"",INDIRECT("'SorP'!$A$"&amp;MATCH($J154,SorP!$B$1:$B$6230,0))))</f>
        <v>JP-11</v>
      </c>
      <c r="U154" s="238"/>
      <c r="V154" s="270">
        <f ca="1">IF(C154="",NA(),MATCH($B154&amp;$C154,'Smelter Look-up'!$J:$J,0))</f>
        <v>160</v>
      </c>
      <c r="W154" s="271"/>
      <c r="X154" s="271">
        <f t="shared" ca="1" si="22"/>
        <v>0</v>
      </c>
      <c r="Y154" s="271"/>
      <c r="Z154" s="271"/>
      <c r="AB154" s="273" t="str">
        <f t="shared" ca="1" si="23"/>
        <v>GoldMatsuda Sangyo Co., Ltd.</v>
      </c>
    </row>
    <row r="155" spans="1:28" s="272" customFormat="1" ht="102">
      <c r="A155" s="356" t="s">
        <v>702</v>
      </c>
      <c r="B155" s="215" t="str">
        <f ca="1">IF(LEN(A155)=0,"",INDEX('Smelter Look-up'!$A:$A,MATCH($A155,'Smelter Look-up'!$E:$E,0)))</f>
        <v>Gold</v>
      </c>
      <c r="C155" s="219" t="str">
        <f ca="1">IF(LEN(A155)=0,"",INDEX('Smelter Look-up'!$C:$C,MATCH($A155,'Smelter Look-up'!$E:$E,0)))</f>
        <v>Luoyang Zijin Yinhui Gold Refinery Co., Ltd.</v>
      </c>
      <c r="D155" s="278"/>
      <c r="E155" s="215" t="str">
        <f ca="1">IF(ISERROR($V155),"",OFFSET('Smelter Look-up'!$D$4,$V155-4,0)&amp;"")</f>
        <v>CHINA</v>
      </c>
      <c r="F155" s="215" t="str">
        <f ca="1">IF(ISERROR($V155),"",OFFSET('Smelter Look-up'!$E$4,$V155-4,0))</f>
        <v>CID001093</v>
      </c>
      <c r="G155" s="215" t="str">
        <f ca="1">IF(C155=$X$4,"Enter smelter details",IF(ISERROR($V155),"",OFFSET('Smelter Look-up'!$F$4,$V155-4,0)))</f>
        <v>RMI</v>
      </c>
      <c r="H155" s="216">
        <f ca="1">IF(ISERROR($V155),"",OFFSET('Smelter Look-up'!$G$4,$V155-4,0))</f>
        <v>0</v>
      </c>
      <c r="I155" s="217" t="str">
        <f ca="1">IF(ISERROR($V155),"",OFFSET('Smelter Look-up'!$H$4,$V155-4,0))</f>
        <v>Luoyang</v>
      </c>
      <c r="J155" s="217" t="str">
        <f ca="1">IF(ISERROR($V155),"",OFFSET('Smelter Look-up'!$I$4,$V155-4,0))</f>
        <v>Henan Sheng</v>
      </c>
      <c r="K155" s="268"/>
      <c r="L155" s="268"/>
      <c r="M155" s="268"/>
      <c r="N155" s="268"/>
      <c r="O155" s="268"/>
      <c r="P155" s="218"/>
      <c r="Q155" s="269"/>
      <c r="R155" s="215" t="str">
        <f ca="1">IF(ISERROR($V155),"",OFFSET('Smelter Look-up'!$C$4,$V155-4,0)&amp;"")</f>
        <v>Luoyang Zijin Yinhui Gold Refinery Co., Ltd.</v>
      </c>
      <c r="S155" s="222" t="str">
        <f t="shared" ca="1" si="21"/>
        <v>CN</v>
      </c>
      <c r="T155" s="222" t="str">
        <f ca="1">IF(B155="","",IF(ISERROR(MATCH($J155,SorP!$B$1:$B$6230,0)),"",INDIRECT("'SorP'!$A$"&amp;MATCH($J155,SorP!$B$1:$B$6230,0))))</f>
        <v>CN-HA</v>
      </c>
      <c r="U155" s="238"/>
      <c r="V155" s="270">
        <f ca="1">IF(C155="",NA(),MATCH($B155&amp;$C155,'Smelter Look-up'!$J:$J,0))</f>
        <v>155</v>
      </c>
      <c r="W155" s="271"/>
      <c r="X155" s="271">
        <f t="shared" ca="1" si="22"/>
        <v>0</v>
      </c>
      <c r="Y155" s="271"/>
      <c r="Z155" s="271"/>
      <c r="AB155" s="273" t="str">
        <f t="shared" ca="1" si="23"/>
        <v>GoldLuoyang Zijin Yinhui Gold Refinery Co., Ltd.</v>
      </c>
    </row>
    <row r="156" spans="1:28" s="272" customFormat="1" ht="51">
      <c r="A156" s="214" t="s">
        <v>1409</v>
      </c>
      <c r="B156" s="215" t="str">
        <f ca="1">IF(LEN(A156)=0,"",INDEX('Smelter Look-up'!$A:$A,MATCH($A156,'Smelter Look-up'!$E:$E,0)))</f>
        <v>Gold</v>
      </c>
      <c r="C156" s="219" t="str">
        <f ca="1">IF(LEN(A156)=0,"",INDEX('Smelter Look-up'!$C:$C,MATCH($A156,'Smelter Look-up'!$E:$E,0)))</f>
        <v>Samduck Precious Metals</v>
      </c>
      <c r="D156" s="278"/>
      <c r="E156" s="215" t="str">
        <f ca="1">IF(ISERROR($V156),"",OFFSET('Smelter Look-up'!$D$4,$V156-4,0)&amp;"")</f>
        <v>KOREA, REPUBLIC OF</v>
      </c>
      <c r="F156" s="215" t="str">
        <f ca="1">IF(ISERROR($V156),"",OFFSET('Smelter Look-up'!$E$4,$V156-4,0))</f>
        <v>CID001555</v>
      </c>
      <c r="G156" s="215" t="str">
        <f ca="1">IF(C156=$X$4,"Enter smelter details",IF(ISERROR($V156),"",OFFSET('Smelter Look-up'!$F$4,$V156-4,0)))</f>
        <v>RMI</v>
      </c>
      <c r="H156" s="216">
        <f ca="1">IF(ISERROR($V156),"",OFFSET('Smelter Look-up'!$G$4,$V156-4,0))</f>
        <v>0</v>
      </c>
      <c r="I156" s="217" t="str">
        <f ca="1">IF(ISERROR($V156),"",OFFSET('Smelter Look-up'!$H$4,$V156-4,0))</f>
        <v>Namdong</v>
      </c>
      <c r="J156" s="217" t="str">
        <f ca="1">IF(ISERROR($V156),"",OFFSET('Smelter Look-up'!$I$4,$V156-4,0))</f>
        <v>Incheon-gwangyeoksi</v>
      </c>
      <c r="K156" s="268"/>
      <c r="L156" s="268"/>
      <c r="M156" s="268"/>
      <c r="N156" s="268"/>
      <c r="O156" s="268"/>
      <c r="P156" s="218"/>
      <c r="Q156" s="269"/>
      <c r="R156" s="215" t="str">
        <f ca="1">IF(ISERROR($V156),"",OFFSET('Smelter Look-up'!$C$4,$V156-4,0)&amp;"")</f>
        <v>Samduck Precious Metals</v>
      </c>
      <c r="S156" s="222" t="str">
        <f t="shared" ca="1" si="21"/>
        <v>KR</v>
      </c>
      <c r="T156" s="222" t="str">
        <f ca="1">IF(B156="","",IF(ISERROR(MATCH($J156,SorP!$B$1:$B$6230,0)),"",INDIRECT("'SorP'!$A$"&amp;MATCH($J156,SorP!$B$1:$B$6230,0))))</f>
        <v>KR-28</v>
      </c>
      <c r="U156" s="238"/>
      <c r="V156" s="270">
        <f ca="1">IF(C156="",NA(),MATCH($B156&amp;$C156,'Smelter Look-up'!$J:$J,0))</f>
        <v>223</v>
      </c>
      <c r="W156" s="271"/>
      <c r="X156" s="271">
        <f t="shared" ca="1" si="22"/>
        <v>0</v>
      </c>
      <c r="Y156" s="271"/>
      <c r="Z156" s="271"/>
      <c r="AB156" s="273" t="str">
        <f t="shared" ca="1" si="23"/>
        <v>GoldSamduck Precious Metals</v>
      </c>
    </row>
    <row r="157" spans="1:28" s="272" customFormat="1" ht="51">
      <c r="A157" s="214" t="s">
        <v>726</v>
      </c>
      <c r="B157" s="215" t="str">
        <f ca="1">IF(LEN(A157)=0,"",INDEX('Smelter Look-up'!$A:$A,MATCH($A157,'Smelter Look-up'!$E:$E,0)))</f>
        <v>Gold</v>
      </c>
      <c r="C157" s="219" t="str">
        <f ca="1">IF(LEN(A157)=0,"",INDEX('Smelter Look-up'!$C:$C,MATCH($A157,'Smelter Look-up'!$E:$E,0)))</f>
        <v>Samwon Metals Corp.</v>
      </c>
      <c r="D157" s="278"/>
      <c r="E157" s="215" t="str">
        <f ca="1">IF(ISERROR($V157),"",OFFSET('Smelter Look-up'!$D$4,$V157-4,0)&amp;"")</f>
        <v>KOREA, REPUBLIC OF</v>
      </c>
      <c r="F157" s="215" t="str">
        <f ca="1">IF(ISERROR($V157),"",OFFSET('Smelter Look-up'!$E$4,$V157-4,0))</f>
        <v>CID001562</v>
      </c>
      <c r="G157" s="215" t="str">
        <f ca="1">IF(C157=$X$4,"Enter smelter details",IF(ISERROR($V157),"",OFFSET('Smelter Look-up'!$F$4,$V157-4,0)))</f>
        <v>RMI</v>
      </c>
      <c r="H157" s="216">
        <f ca="1">IF(ISERROR($V157),"",OFFSET('Smelter Look-up'!$G$4,$V157-4,0))</f>
        <v>0</v>
      </c>
      <c r="I157" s="217" t="str">
        <f ca="1">IF(ISERROR($V157),"",OFFSET('Smelter Look-up'!$H$4,$V157-4,0))</f>
        <v>Changwon</v>
      </c>
      <c r="J157" s="217" t="str">
        <f ca="1">IF(ISERROR($V157),"",OFFSET('Smelter Look-up'!$I$4,$V157-4,0))</f>
        <v>Gyeongsangnam-do</v>
      </c>
      <c r="K157" s="268"/>
      <c r="L157" s="268"/>
      <c r="M157" s="268"/>
      <c r="N157" s="268"/>
      <c r="O157" s="268"/>
      <c r="P157" s="218"/>
      <c r="Q157" s="269"/>
      <c r="R157" s="215" t="str">
        <f ca="1">IF(ISERROR($V157),"",OFFSET('Smelter Look-up'!$C$4,$V157-4,0)&amp;"")</f>
        <v>Samwon Metals Corp.</v>
      </c>
      <c r="S157" s="222" t="str">
        <f t="shared" ca="1" si="21"/>
        <v>KR</v>
      </c>
      <c r="T157" s="222" t="str">
        <f ca="1">IF(B157="","",IF(ISERROR(MATCH($J157,SorP!$B$1:$B$6230,0)),"",INDIRECT("'SorP'!$A$"&amp;MATCH($J157,SorP!$B$1:$B$6230,0))))</f>
        <v>KR-48</v>
      </c>
      <c r="U157" s="238"/>
      <c r="V157" s="270">
        <f ca="1">IF(C157="",NA(),MATCH($B157&amp;$C157,'Smelter Look-up'!$J:$J,0))</f>
        <v>224</v>
      </c>
      <c r="W157" s="271"/>
      <c r="X157" s="271">
        <f t="shared" ca="1" si="22"/>
        <v>0</v>
      </c>
      <c r="Y157" s="271"/>
      <c r="Z157" s="271"/>
      <c r="AB157" s="273" t="str">
        <f t="shared" ca="1" si="23"/>
        <v>GoldSamwon Metals Corp.</v>
      </c>
    </row>
    <row r="158" spans="1:28" s="272" customFormat="1" ht="63.75">
      <c r="A158" s="214" t="s">
        <v>727</v>
      </c>
      <c r="B158" s="215" t="str">
        <f ca="1">IF(LEN(A158)=0,"",INDEX('Smelter Look-up'!$A:$A,MATCH($A158,'Smelter Look-up'!$E:$E,0)))</f>
        <v>Gold</v>
      </c>
      <c r="C158" s="219" t="str">
        <f ca="1">IF(LEN(A158)=0,"",INDEX('Smelter Look-up'!$C:$C,MATCH($A158,'Smelter Look-up'!$E:$E,0)))</f>
        <v>SEMPSA Joyeria Plateria S.A.</v>
      </c>
      <c r="D158" s="278"/>
      <c r="E158" s="215" t="str">
        <f ca="1">IF(ISERROR($V158),"",OFFSET('Smelter Look-up'!$D$4,$V158-4,0)&amp;"")</f>
        <v>SPAIN</v>
      </c>
      <c r="F158" s="215" t="str">
        <f ca="1">IF(ISERROR($V158),"",OFFSET('Smelter Look-up'!$E$4,$V158-4,0))</f>
        <v>CID001585</v>
      </c>
      <c r="G158" s="215" t="str">
        <f ca="1">IF(C158=$X$4,"Enter smelter details",IF(ISERROR($V158),"",OFFSET('Smelter Look-up'!$F$4,$V158-4,0)))</f>
        <v>RMI</v>
      </c>
      <c r="H158" s="216">
        <f ca="1">IF(ISERROR($V158),"",OFFSET('Smelter Look-up'!$G$4,$V158-4,0))</f>
        <v>0</v>
      </c>
      <c r="I158" s="217" t="str">
        <f ca="1">IF(ISERROR($V158),"",OFFSET('Smelter Look-up'!$H$4,$V158-4,0))</f>
        <v>Madrid</v>
      </c>
      <c r="J158" s="217" t="str">
        <f ca="1">IF(ISERROR($V158),"",OFFSET('Smelter Look-up'!$I$4,$V158-4,0))</f>
        <v>Madrid, Comunidad de</v>
      </c>
      <c r="K158" s="268"/>
      <c r="L158" s="268"/>
      <c r="M158" s="268"/>
      <c r="N158" s="268"/>
      <c r="O158" s="268"/>
      <c r="P158" s="218"/>
      <c r="Q158" s="269"/>
      <c r="R158" s="215" t="str">
        <f ca="1">IF(ISERROR($V158),"",OFFSET('Smelter Look-up'!$C$4,$V158-4,0)&amp;"")</f>
        <v>SEMPSA Joyeria Plateria S.A.</v>
      </c>
      <c r="S158" s="222" t="str">
        <f t="shared" ca="1" si="21"/>
        <v>ES</v>
      </c>
      <c r="T158" s="222" t="str">
        <f ca="1">IF(B158="","",IF(ISERROR(MATCH($J158,SorP!$B$1:$B$6230,0)),"",INDIRECT("'SorP'!$A$"&amp;MATCH($J158,SorP!$B$1:$B$6230,0))))</f>
        <v>ES-MD</v>
      </c>
      <c r="U158" s="238"/>
      <c r="V158" s="270">
        <f ca="1">IF(C158="",NA(),MATCH($B158&amp;$C158,'Smelter Look-up'!$J:$J,0))</f>
        <v>229</v>
      </c>
      <c r="W158" s="271"/>
      <c r="X158" s="271">
        <f t="shared" ca="1" si="22"/>
        <v>0</v>
      </c>
      <c r="Y158" s="271"/>
      <c r="Z158" s="271"/>
      <c r="AB158" s="273" t="str">
        <f t="shared" ca="1" si="23"/>
        <v>GoldSEMPSA Joyeria Plateria S.A.</v>
      </c>
    </row>
    <row r="159" spans="1:28" s="272" customFormat="1" ht="89.25">
      <c r="A159" s="214" t="s">
        <v>733</v>
      </c>
      <c r="B159" s="215" t="str">
        <f ca="1">IF(LEN(A159)=0,"",INDEX('Smelter Look-up'!$A:$A,MATCH($A159,'Smelter Look-up'!$E:$E,0)))</f>
        <v>Gold</v>
      </c>
      <c r="C159" s="219" t="str">
        <f ca="1">IF(LEN(A159)=0,"",INDEX('Smelter Look-up'!$C:$C,MATCH($A159,'Smelter Look-up'!$E:$E,0)))</f>
        <v>Great Wall Precious Metals Co., Ltd. of CBPM</v>
      </c>
      <c r="D159" s="278"/>
      <c r="E159" s="215" t="str">
        <f ca="1">IF(ISERROR($V159),"",OFFSET('Smelter Look-up'!$D$4,$V159-4,0)&amp;"")</f>
        <v>CHINA</v>
      </c>
      <c r="F159" s="215" t="str">
        <f ca="1">IF(ISERROR($V159),"",OFFSET('Smelter Look-up'!$E$4,$V159-4,0))</f>
        <v>CID001909</v>
      </c>
      <c r="G159" s="215" t="str">
        <f ca="1">IF(C159=$X$4,"Enter smelter details",IF(ISERROR($V159),"",OFFSET('Smelter Look-up'!$F$4,$V159-4,0)))</f>
        <v>RMI</v>
      </c>
      <c r="H159" s="216">
        <f ca="1">IF(ISERROR($V159),"",OFFSET('Smelter Look-up'!$G$4,$V159-4,0))</f>
        <v>0</v>
      </c>
      <c r="I159" s="217" t="str">
        <f ca="1">IF(ISERROR($V159),"",OFFSET('Smelter Look-up'!$H$4,$V159-4,0))</f>
        <v>Chengdu</v>
      </c>
      <c r="J159" s="217" t="str">
        <f ca="1">IF(ISERROR($V159),"",OFFSET('Smelter Look-up'!$I$4,$V159-4,0))</f>
        <v>Sichuan Sheng</v>
      </c>
      <c r="K159" s="268"/>
      <c r="L159" s="268"/>
      <c r="M159" s="268"/>
      <c r="N159" s="268"/>
      <c r="O159" s="268"/>
      <c r="P159" s="218"/>
      <c r="Q159" s="269"/>
      <c r="R159" s="215" t="str">
        <f ca="1">IF(ISERROR($V159),"",OFFSET('Smelter Look-up'!$C$4,$V159-4,0)&amp;"")</f>
        <v>Great Wall Precious Metals Co., Ltd. of CBPM</v>
      </c>
      <c r="S159" s="222" t="str">
        <f t="shared" ca="1" si="21"/>
        <v>CN</v>
      </c>
      <c r="T159" s="222" t="str">
        <f ca="1">IF(B159="","",IF(ISERROR(MATCH($J159,SorP!$B$1:$B$6230,0)),"",INDIRECT("'SorP'!$A$"&amp;MATCH($J159,SorP!$B$1:$B$6230,0))))</f>
        <v>CN-SC</v>
      </c>
      <c r="U159" s="238"/>
      <c r="V159" s="270">
        <f ca="1">IF(C159="",NA(),MATCH($B159&amp;$C159,'Smelter Look-up'!$J:$J,0))</f>
        <v>90</v>
      </c>
      <c r="W159" s="271"/>
      <c r="X159" s="271">
        <f t="shared" ca="1" si="22"/>
        <v>0</v>
      </c>
      <c r="Y159" s="271"/>
      <c r="Z159" s="271"/>
      <c r="AB159" s="273" t="str">
        <f t="shared" ca="1" si="23"/>
        <v>GoldGreat Wall Precious Metals Co., Ltd. of CBPM</v>
      </c>
    </row>
    <row r="160" spans="1:28" s="272" customFormat="1" ht="102">
      <c r="A160" s="214" t="s">
        <v>1814</v>
      </c>
      <c r="B160" s="215" t="str">
        <f ca="1">IF(LEN(A160)=0,"",INDEX('Smelter Look-up'!$A:$A,MATCH($A160,'Smelter Look-up'!$E:$E,0)))</f>
        <v>Tin</v>
      </c>
      <c r="C160" s="219" t="str">
        <f ca="1">IF(LEN(A160)=0,"",INDEX('Smelter Look-up'!$C:$C,MATCH($A160,'Smelter Look-up'!$E:$E,0)))</f>
        <v>Gejiu Yunxin Nonferrous Electrolysis Co., Ltd.</v>
      </c>
      <c r="D160" s="278"/>
      <c r="E160" s="215" t="str">
        <f ca="1">IF(ISERROR($V160),"",OFFSET('Smelter Look-up'!$D$4,$V160-4,0)&amp;"")</f>
        <v>CHINA</v>
      </c>
      <c r="F160" s="215" t="str">
        <f ca="1">IF(ISERROR($V160),"",OFFSET('Smelter Look-up'!$E$4,$V160-4,0))</f>
        <v>CID001908</v>
      </c>
      <c r="G160" s="215" t="str">
        <f ca="1">IF(C160=$X$4,"Enter smelter details",IF(ISERROR($V160),"",OFFSET('Smelter Look-up'!$F$4,$V160-4,0)))</f>
        <v>RMI</v>
      </c>
      <c r="H160" s="216">
        <f ca="1">IF(ISERROR($V160),"",OFFSET('Smelter Look-up'!$G$4,$V160-4,0))</f>
        <v>0</v>
      </c>
      <c r="I160" s="217" t="str">
        <f ca="1">IF(ISERROR($V160),"",OFFSET('Smelter Look-up'!$H$4,$V160-4,0))</f>
        <v>Gejiu</v>
      </c>
      <c r="J160" s="217" t="str">
        <f ca="1">IF(ISERROR($V160),"",OFFSET('Smelter Look-up'!$I$4,$V160-4,0))</f>
        <v>Yunnan Sheng</v>
      </c>
      <c r="K160" s="268"/>
      <c r="L160" s="268"/>
      <c r="M160" s="268"/>
      <c r="N160" s="268"/>
      <c r="O160" s="268"/>
      <c r="P160" s="218"/>
      <c r="Q160" s="269"/>
      <c r="R160" s="215" t="str">
        <f ca="1">IF(ISERROR($V160),"",OFFSET('Smelter Look-up'!$C$4,$V160-4,0)&amp;"")</f>
        <v>Gejiu Yunxin Nonferrous Electrolysis Co., Ltd.</v>
      </c>
      <c r="S160" s="222" t="str">
        <f t="shared" ca="1" si="21"/>
        <v>CN</v>
      </c>
      <c r="T160" s="222" t="str">
        <f ca="1">IF(B160="","",IF(ISERROR(MATCH($J160,SorP!$B$1:$B$6230,0)),"",INDIRECT("'SorP'!$A$"&amp;MATCH($J160,SorP!$B$1:$B$6230,0))))</f>
        <v>CN-YN</v>
      </c>
      <c r="U160" s="238"/>
      <c r="V160" s="270">
        <f ca="1">IF(C160="",NA(),MATCH($B160&amp;$C160,'Smelter Look-up'!$J:$J,0))</f>
        <v>429</v>
      </c>
      <c r="W160" s="271"/>
      <c r="X160" s="271">
        <f t="shared" ca="1" si="22"/>
        <v>0</v>
      </c>
      <c r="Y160" s="271"/>
      <c r="Z160" s="271"/>
      <c r="AB160" s="273" t="str">
        <f t="shared" ca="1" si="23"/>
        <v>TinGejiu Yunxin Nonferrous Electrolysis Co., Ltd.</v>
      </c>
    </row>
    <row r="161" spans="1:28" s="272" customFormat="1" ht="89.25">
      <c r="A161" s="214" t="s">
        <v>746</v>
      </c>
      <c r="B161" s="215" t="str">
        <f ca="1">IF(LEN(A161)=0,"",INDEX('Smelter Look-up'!$A:$A,MATCH($A161,'Smelter Look-up'!$E:$E,0)))</f>
        <v>Gold</v>
      </c>
      <c r="C161" s="219" t="str">
        <f ca="1">IF(LEN(A161)=0,"",INDEX('Smelter Look-up'!$C:$C,MATCH($A161,'Smelter Look-up'!$E:$E,0)))</f>
        <v>Gold Refinery of Zijin Mining Group Co., Ltd.</v>
      </c>
      <c r="D161" s="278"/>
      <c r="E161" s="215" t="str">
        <f ca="1">IF(ISERROR($V161),"",OFFSET('Smelter Look-up'!$D$4,$V161-4,0)&amp;"")</f>
        <v>CHINA</v>
      </c>
      <c r="F161" s="215" t="str">
        <f ca="1">IF(ISERROR($V161),"",OFFSET('Smelter Look-up'!$E$4,$V161-4,0))</f>
        <v>CID002243</v>
      </c>
      <c r="G161" s="215" t="str">
        <f ca="1">IF(C161=$X$4,"Enter smelter details",IF(ISERROR($V161),"",OFFSET('Smelter Look-up'!$F$4,$V161-4,0)))</f>
        <v>RMI</v>
      </c>
      <c r="H161" s="216">
        <f ca="1">IF(ISERROR($V161),"",OFFSET('Smelter Look-up'!$G$4,$V161-4,0))</f>
        <v>0</v>
      </c>
      <c r="I161" s="217" t="str">
        <f ca="1">IF(ISERROR($V161),"",OFFSET('Smelter Look-up'!$H$4,$V161-4,0))</f>
        <v>Shanghang</v>
      </c>
      <c r="J161" s="217" t="str">
        <f ca="1">IF(ISERROR($V161),"",OFFSET('Smelter Look-up'!$I$4,$V161-4,0))</f>
        <v>Fujian Sheng</v>
      </c>
      <c r="K161" s="268"/>
      <c r="L161" s="268"/>
      <c r="M161" s="268"/>
      <c r="N161" s="268"/>
      <c r="O161" s="268"/>
      <c r="P161" s="218"/>
      <c r="Q161" s="269"/>
      <c r="R161" s="215" t="str">
        <f ca="1">IF(ISERROR($V161),"",OFFSET('Smelter Look-up'!$C$4,$V161-4,0)&amp;"")</f>
        <v>Gold Refinery of Zijin Mining Group Co., Ltd.</v>
      </c>
      <c r="S161" s="222" t="str">
        <f t="shared" ca="1" si="21"/>
        <v>CN</v>
      </c>
      <c r="T161" s="222" t="str">
        <f ca="1">IF(B161="","",IF(ISERROR(MATCH($J161,SorP!$B$1:$B$6230,0)),"",INDIRECT("'SorP'!$A$"&amp;MATCH($J161,SorP!$B$1:$B$6230,0))))</f>
        <v>CN-FJ</v>
      </c>
      <c r="U161" s="238"/>
      <c r="V161" s="270">
        <f ca="1">IF(C161="",NA(),MATCH($B161&amp;$C161,'Smelter Look-up'!$J:$J,0))</f>
        <v>88</v>
      </c>
      <c r="W161" s="271"/>
      <c r="X161" s="271">
        <f t="shared" ca="1" si="22"/>
        <v>0</v>
      </c>
      <c r="Y161" s="271"/>
      <c r="Z161" s="271"/>
      <c r="AB161" s="273" t="str">
        <f t="shared" ca="1" si="23"/>
        <v>GoldGold Refinery of Zijin Mining Group Co., Ltd.</v>
      </c>
    </row>
    <row r="162" spans="1:28" s="272" customFormat="1" ht="51">
      <c r="A162" s="214" t="s">
        <v>1326</v>
      </c>
      <c r="B162" s="215" t="str">
        <f ca="1">IF(LEN(A162)=0,"",INDEX('Smelter Look-up'!$A:$A,MATCH($A162,'Smelter Look-up'!$E:$E,0)))</f>
        <v>Tin</v>
      </c>
      <c r="C162" s="219" t="str">
        <f ca="1">IF(LEN(A162)=0,"",INDEX('Smelter Look-up'!$C:$C,MATCH($A162,'Smelter Look-up'!$E:$E,0)))</f>
        <v>Melt Metais e Ligas S.A.</v>
      </c>
      <c r="D162" s="278"/>
      <c r="E162" s="215" t="str">
        <f ca="1">IF(ISERROR($V162),"",OFFSET('Smelter Look-up'!$D$4,$V162-4,0)&amp;"")</f>
        <v>BRAZIL</v>
      </c>
      <c r="F162" s="215" t="str">
        <f ca="1">IF(ISERROR($V162),"",OFFSET('Smelter Look-up'!$E$4,$V162-4,0))</f>
        <v>CID002500</v>
      </c>
      <c r="G162" s="215" t="str">
        <f ca="1">IF(C162=$X$4,"Enter smelter details",IF(ISERROR($V162),"",OFFSET('Smelter Look-up'!$F$4,$V162-4,0)))</f>
        <v>RMI</v>
      </c>
      <c r="H162" s="216">
        <f ca="1">IF(ISERROR($V162),"",OFFSET('Smelter Look-up'!$G$4,$V162-4,0))</f>
        <v>0</v>
      </c>
      <c r="I162" s="217" t="str">
        <f ca="1">IF(ISERROR($V162),"",OFFSET('Smelter Look-up'!$H$4,$V162-4,0))</f>
        <v>Ariquemes</v>
      </c>
      <c r="J162" s="217" t="str">
        <f ca="1">IF(ISERROR($V162),"",OFFSET('Smelter Look-up'!$I$4,$V162-4,0))</f>
        <v>Rondônia</v>
      </c>
      <c r="K162" s="268"/>
      <c r="L162" s="268"/>
      <c r="M162" s="268"/>
      <c r="N162" s="268"/>
      <c r="O162" s="268"/>
      <c r="P162" s="218"/>
      <c r="Q162" s="269"/>
      <c r="R162" s="215" t="str">
        <f ca="1">IF(ISERROR($V162),"",OFFSET('Smelter Look-up'!$C$4,$V162-4,0)&amp;"")</f>
        <v>Melt Metais e Ligas S.A.</v>
      </c>
      <c r="S162" s="222" t="str">
        <f t="shared" ca="1" si="21"/>
        <v>BR</v>
      </c>
      <c r="T162" s="222" t="str">
        <f ca="1">IF(B162="","",IF(ISERROR(MATCH($J162,SorP!$B$1:$B$6230,0)),"",INDIRECT("'SorP'!$A$"&amp;MATCH($J162,SorP!$B$1:$B$6230,0))))</f>
        <v>BR-RO</v>
      </c>
      <c r="U162" s="238"/>
      <c r="V162" s="270">
        <f ca="1">IF(C162="",NA(),MATCH($B162&amp;$C162,'Smelter Look-up'!$J:$J,0))</f>
        <v>450</v>
      </c>
      <c r="W162" s="271"/>
      <c r="X162" s="271">
        <f t="shared" ca="1" si="22"/>
        <v>0</v>
      </c>
      <c r="Y162" s="271"/>
      <c r="Z162" s="271"/>
      <c r="AB162" s="273" t="str">
        <f t="shared" ca="1" si="23"/>
        <v>TinMelt Metais e Ligas S.A.</v>
      </c>
    </row>
    <row r="163" spans="1:28" s="272" customFormat="1" ht="51">
      <c r="A163" s="214" t="s">
        <v>700</v>
      </c>
      <c r="B163" s="215" t="str">
        <f ca="1">IF(LEN(A163)=0,"",INDEX('Smelter Look-up'!$A:$A,MATCH($A163,'Smelter Look-up'!$E:$E,0)))</f>
        <v>Gold</v>
      </c>
      <c r="C163" s="219" t="str">
        <f ca="1">IF(LEN(A163)=0,"",INDEX('Smelter Look-up'!$C:$C,MATCH($A163,'Smelter Look-up'!$E:$E,0)))</f>
        <v>LS-NIKKO Copper Inc.</v>
      </c>
      <c r="D163" s="278"/>
      <c r="E163" s="215" t="str">
        <f ca="1">IF(ISERROR($V163),"",OFFSET('Smelter Look-up'!$D$4,$V163-4,0)&amp;"")</f>
        <v>KOREA, REPUBLIC OF</v>
      </c>
      <c r="F163" s="215" t="str">
        <f ca="1">IF(ISERROR($V163),"",OFFSET('Smelter Look-up'!$E$4,$V163-4,0))</f>
        <v>CID001078</v>
      </c>
      <c r="G163" s="215" t="str">
        <f ca="1">IF(C163=$X$4,"Enter smelter details",IF(ISERROR($V163),"",OFFSET('Smelter Look-up'!$F$4,$V163-4,0)))</f>
        <v>RMI</v>
      </c>
      <c r="H163" s="216">
        <f ca="1">IF(ISERROR($V163),"",OFFSET('Smelter Look-up'!$G$4,$V163-4,0))</f>
        <v>0</v>
      </c>
      <c r="I163" s="217" t="str">
        <f ca="1">IF(ISERROR($V163),"",OFFSET('Smelter Look-up'!$H$4,$V163-4,0))</f>
        <v>Onsan-eup</v>
      </c>
      <c r="J163" s="217" t="str">
        <f ca="1">IF(ISERROR($V163),"",OFFSET('Smelter Look-up'!$I$4,$V163-4,0))</f>
        <v>Ulsan-gwangyeoksi</v>
      </c>
      <c r="K163" s="268"/>
      <c r="L163" s="268"/>
      <c r="M163" s="268"/>
      <c r="N163" s="268"/>
      <c r="O163" s="268"/>
      <c r="P163" s="218"/>
      <c r="Q163" s="269"/>
      <c r="R163" s="215" t="str">
        <f ca="1">IF(ISERROR($V163),"",OFFSET('Smelter Look-up'!$C$4,$V163-4,0)&amp;"")</f>
        <v>LS-NIKKO Copper Inc.</v>
      </c>
      <c r="S163" s="222" t="str">
        <f t="shared" ca="1" si="21"/>
        <v>KR</v>
      </c>
      <c r="T163" s="222" t="str">
        <f ca="1">IF(B163="","",IF(ISERROR(MATCH($J163,SorP!$B$1:$B$6230,0)),"",INDIRECT("'SorP'!$A$"&amp;MATCH($J163,SorP!$B$1:$B$6230,0))))</f>
        <v>KR-31</v>
      </c>
      <c r="U163" s="238"/>
      <c r="V163" s="270">
        <f ca="1">IF(C163="",NA(),MATCH($B163&amp;$C163,'Smelter Look-up'!$J:$J,0))</f>
        <v>153</v>
      </c>
      <c r="W163" s="271"/>
      <c r="X163" s="271">
        <f t="shared" ca="1" si="22"/>
        <v>0</v>
      </c>
      <c r="Y163" s="271"/>
      <c r="Z163" s="271"/>
      <c r="AB163" s="273" t="str">
        <f t="shared" ca="1" si="23"/>
        <v>GoldLS-NIKKO Copper Inc.</v>
      </c>
    </row>
    <row r="164" spans="1:28" s="272" customFormat="1" ht="38.25">
      <c r="A164" s="214" t="s">
        <v>725</v>
      </c>
      <c r="B164" s="215" t="str">
        <f ca="1">IF(LEN(A164)=0,"",INDEX('Smelter Look-up'!$A:$A,MATCH($A164,'Smelter Look-up'!$E:$E,0)))</f>
        <v>Gold</v>
      </c>
      <c r="C164" s="219" t="str">
        <f ca="1">IF(LEN(A164)=0,"",INDEX('Smelter Look-up'!$C:$C,MATCH($A164,'Smelter Look-up'!$E:$E,0)))</f>
        <v>Sabin Metal Corp.</v>
      </c>
      <c r="D164" s="278"/>
      <c r="E164" s="215" t="str">
        <f ca="1">IF(ISERROR($V164),"",OFFSET('Smelter Look-up'!$D$4,$V164-4,0)&amp;"")</f>
        <v>UNITED STATES OF AMERICA</v>
      </c>
      <c r="F164" s="215" t="str">
        <f ca="1">IF(ISERROR($V164),"",OFFSET('Smelter Look-up'!$E$4,$V164-4,0))</f>
        <v>CID001546</v>
      </c>
      <c r="G164" s="215" t="str">
        <f ca="1">IF(C164=$X$4,"Enter smelter details",IF(ISERROR($V164),"",OFFSET('Smelter Look-up'!$F$4,$V164-4,0)))</f>
        <v>RMI</v>
      </c>
      <c r="H164" s="216">
        <f ca="1">IF(ISERROR($V164),"",OFFSET('Smelter Look-up'!$G$4,$V164-4,0))</f>
        <v>0</v>
      </c>
      <c r="I164" s="217" t="str">
        <f ca="1">IF(ISERROR($V164),"",OFFSET('Smelter Look-up'!$H$4,$V164-4,0))</f>
        <v>Williston</v>
      </c>
      <c r="J164" s="217" t="str">
        <f ca="1">IF(ISERROR($V164),"",OFFSET('Smelter Look-up'!$I$4,$V164-4,0))</f>
        <v>North Dakota</v>
      </c>
      <c r="K164" s="268"/>
      <c r="L164" s="268"/>
      <c r="M164" s="268"/>
      <c r="N164" s="268"/>
      <c r="O164" s="268"/>
      <c r="P164" s="218"/>
      <c r="Q164" s="269"/>
      <c r="R164" s="215" t="str">
        <f ca="1">IF(ISERROR($V164),"",OFFSET('Smelter Look-up'!$C$4,$V164-4,0)&amp;"")</f>
        <v>Sabin Metal Corp.</v>
      </c>
      <c r="S164" s="222" t="str">
        <f t="shared" ca="1" si="21"/>
        <v>US</v>
      </c>
      <c r="T164" s="222" t="str">
        <f ca="1">IF(B164="","",IF(ISERROR(MATCH($J164,SorP!$B$1:$B$6230,0)),"",INDIRECT("'SorP'!$A$"&amp;MATCH($J164,SorP!$B$1:$B$6230,0))))</f>
        <v>US-ND</v>
      </c>
      <c r="U164" s="238"/>
      <c r="V164" s="270">
        <f ca="1">IF(C164="",NA(),MATCH($B164&amp;$C164,'Smelter Look-up'!$J:$J,0))</f>
        <v>217</v>
      </c>
      <c r="W164" s="271"/>
      <c r="X164" s="271">
        <f t="shared" ca="1" si="22"/>
        <v>0</v>
      </c>
      <c r="Y164" s="271"/>
      <c r="Z164" s="271"/>
      <c r="AB164" s="273" t="str">
        <f t="shared" ca="1" si="23"/>
        <v>GoldSabin Metal Corp.</v>
      </c>
    </row>
    <row r="165" spans="1:28" s="272" customFormat="1" ht="114.75">
      <c r="A165" s="214" t="s">
        <v>1662</v>
      </c>
      <c r="B165" s="215" t="str">
        <f ca="1">IF(LEN(A165)=0,"",INDEX('Smelter Look-up'!$A:$A,MATCH($A165,'Smelter Look-up'!$E:$E,0)))</f>
        <v>Gold</v>
      </c>
      <c r="C165" s="219" t="str">
        <f ca="1">IF(LEN(A165)=0,"",INDEX('Smelter Look-up'!$C:$C,MATCH($A165,'Smelter Look-up'!$E:$E,0)))</f>
        <v>Shandong Tiancheng Biological Gold Industrial Co., Ltd.</v>
      </c>
      <c r="D165" s="278"/>
      <c r="E165" s="215" t="str">
        <f ca="1">IF(ISERROR($V165),"",OFFSET('Smelter Look-up'!$D$4,$V165-4,0)&amp;"")</f>
        <v>CHINA</v>
      </c>
      <c r="F165" s="215" t="str">
        <f ca="1">IF(ISERROR($V165),"",OFFSET('Smelter Look-up'!$E$4,$V165-4,0))</f>
        <v>CID001619</v>
      </c>
      <c r="G165" s="215" t="str">
        <f ca="1">IF(C165=$X$4,"Enter smelter details",IF(ISERROR($V165),"",OFFSET('Smelter Look-up'!$F$4,$V165-4,0)))</f>
        <v>RMI</v>
      </c>
      <c r="H165" s="216">
        <f ca="1">IF(ISERROR($V165),"",OFFSET('Smelter Look-up'!$G$4,$V165-4,0))</f>
        <v>0</v>
      </c>
      <c r="I165" s="217" t="str">
        <f ca="1">IF(ISERROR($V165),"",OFFSET('Smelter Look-up'!$H$4,$V165-4,0))</f>
        <v>Laizhou</v>
      </c>
      <c r="J165" s="217" t="str">
        <f ca="1">IF(ISERROR($V165),"",OFFSET('Smelter Look-up'!$I$4,$V165-4,0))</f>
        <v>Shandong Sheng</v>
      </c>
      <c r="K165" s="268"/>
      <c r="L165" s="268"/>
      <c r="M165" s="268"/>
      <c r="N165" s="268"/>
      <c r="O165" s="268"/>
      <c r="P165" s="218"/>
      <c r="Q165" s="269"/>
      <c r="R165" s="215" t="str">
        <f ca="1">IF(ISERROR($V165),"",OFFSET('Smelter Look-up'!$C$4,$V165-4,0)&amp;"")</f>
        <v>Shandong Tiancheng Biological Gold Industrial Co., Ltd.</v>
      </c>
      <c r="S165" s="222" t="str">
        <f t="shared" ref="S165:S195" ca="1" si="24">IF(B165="","",IF(ISERROR(MATCH($E165,CL,0)),"Unknown",INDIRECT("'C'!$A$"&amp;MATCH($E165,CL,0)+1)))</f>
        <v>CN</v>
      </c>
      <c r="T165" s="222" t="str">
        <f ca="1">IF(B165="","",IF(ISERROR(MATCH($J165,SorP!$B$1:$B$6230,0)),"",INDIRECT("'SorP'!$A$"&amp;MATCH($J165,SorP!$B$1:$B$6230,0))))</f>
        <v>CN-SD</v>
      </c>
      <c r="U165" s="238"/>
      <c r="V165" s="270">
        <f ca="1">IF(C165="",NA(),MATCH($B165&amp;$C165,'Smelter Look-up'!$J:$J,0))</f>
        <v>240</v>
      </c>
      <c r="W165" s="271"/>
      <c r="X165" s="271">
        <f t="shared" ref="X165:X195" ca="1" si="25">IF(AND(C165="Smelter not listed",OR(LEN(D165)=0,LEN(E165)=0)),1,0)</f>
        <v>0</v>
      </c>
      <c r="Y165" s="271"/>
      <c r="Z165" s="271"/>
      <c r="AB165" s="273" t="str">
        <f t="shared" ref="AB165:AB195" ca="1" si="26">B165&amp;C165</f>
        <v>GoldShandong Tiancheng Biological Gold Industrial Co., Ltd.</v>
      </c>
    </row>
    <row r="166" spans="1:28" s="272" customFormat="1" ht="102">
      <c r="A166" s="214" t="s">
        <v>728</v>
      </c>
      <c r="B166" s="215" t="str">
        <f ca="1">IF(LEN(A166)=0,"",INDEX('Smelter Look-up'!$A:$A,MATCH($A166,'Smelter Look-up'!$E:$E,0)))</f>
        <v>Gold</v>
      </c>
      <c r="C166" s="219" t="str">
        <f ca="1">IF(LEN(A166)=0,"",INDEX('Smelter Look-up'!$C:$C,MATCH($A166,'Smelter Look-up'!$E:$E,0)))</f>
        <v>Shandong Zhaojin Gold &amp; Silver Refinery Co., Ltd.</v>
      </c>
      <c r="D166" s="278"/>
      <c r="E166" s="215" t="str">
        <f ca="1">IF(ISERROR($V166),"",OFFSET('Smelter Look-up'!$D$4,$V166-4,0)&amp;"")</f>
        <v>CHINA</v>
      </c>
      <c r="F166" s="215" t="str">
        <f ca="1">IF(ISERROR($V166),"",OFFSET('Smelter Look-up'!$E$4,$V166-4,0))</f>
        <v>CID001622</v>
      </c>
      <c r="G166" s="215" t="str">
        <f ca="1">IF(C166=$X$4,"Enter smelter details",IF(ISERROR($V166),"",OFFSET('Smelter Look-up'!$F$4,$V166-4,0)))</f>
        <v>RMI</v>
      </c>
      <c r="H166" s="216">
        <f ca="1">IF(ISERROR($V166),"",OFFSET('Smelter Look-up'!$G$4,$V166-4,0))</f>
        <v>0</v>
      </c>
      <c r="I166" s="217" t="str">
        <f ca="1">IF(ISERROR($V166),"",OFFSET('Smelter Look-up'!$H$4,$V166-4,0))</f>
        <v>Zhaoyuan</v>
      </c>
      <c r="J166" s="217" t="str">
        <f ca="1">IF(ISERROR($V166),"",OFFSET('Smelter Look-up'!$I$4,$V166-4,0))</f>
        <v>Shandong Sheng</v>
      </c>
      <c r="K166" s="268"/>
      <c r="L166" s="268"/>
      <c r="M166" s="268"/>
      <c r="N166" s="268"/>
      <c r="O166" s="268"/>
      <c r="P166" s="218"/>
      <c r="Q166" s="269"/>
      <c r="R166" s="215" t="str">
        <f ca="1">IF(ISERROR($V166),"",OFFSET('Smelter Look-up'!$C$4,$V166-4,0)&amp;"")</f>
        <v>Shandong Zhaojin Gold &amp; Silver Refinery Co., Ltd.</v>
      </c>
      <c r="S166" s="222" t="str">
        <f t="shared" ca="1" si="24"/>
        <v>CN</v>
      </c>
      <c r="T166" s="222" t="str">
        <f ca="1">IF(B166="","",IF(ISERROR(MATCH($J166,SorP!$B$1:$B$6230,0)),"",INDIRECT("'SorP'!$A$"&amp;MATCH($J166,SorP!$B$1:$B$6230,0))))</f>
        <v>CN-SD</v>
      </c>
      <c r="U166" s="238"/>
      <c r="V166" s="270">
        <f ca="1">IF(C166="",NA(),MATCH($B166&amp;$C166,'Smelter Look-up'!$J:$J,0))</f>
        <v>241</v>
      </c>
      <c r="W166" s="271"/>
      <c r="X166" s="271">
        <f t="shared" ca="1" si="25"/>
        <v>0</v>
      </c>
      <c r="Y166" s="271"/>
      <c r="Z166" s="271"/>
      <c r="AB166" s="273" t="str">
        <f t="shared" ca="1" si="26"/>
        <v>GoldShandong Zhaojin Gold &amp; Silver Refinery Co., Ltd.</v>
      </c>
    </row>
    <row r="167" spans="1:28" s="272" customFormat="1" ht="63.75">
      <c r="A167" s="214" t="s">
        <v>732</v>
      </c>
      <c r="B167" s="215" t="str">
        <f ca="1">IF(LEN(A167)=0,"",INDEX('Smelter Look-up'!$A:$A,MATCH($A167,'Smelter Look-up'!$E:$E,0)))</f>
        <v>Gold</v>
      </c>
      <c r="C167" s="219" t="str">
        <f ca="1">IF(LEN(A167)=0,"",INDEX('Smelter Look-up'!$C:$C,MATCH($A167,'Smelter Look-up'!$E:$E,0)))</f>
        <v>Tanaka Kikinzoku Kogyo K.K.</v>
      </c>
      <c r="D167" s="278"/>
      <c r="E167" s="215" t="str">
        <f ca="1">IF(ISERROR($V167),"",OFFSET('Smelter Look-up'!$D$4,$V167-4,0)&amp;"")</f>
        <v>JAPAN</v>
      </c>
      <c r="F167" s="215" t="str">
        <f ca="1">IF(ISERROR($V167),"",OFFSET('Smelter Look-up'!$E$4,$V167-4,0))</f>
        <v>CID001875</v>
      </c>
      <c r="G167" s="215" t="str">
        <f ca="1">IF(C167=$X$4,"Enter smelter details",IF(ISERROR($V167),"",OFFSET('Smelter Look-up'!$F$4,$V167-4,0)))</f>
        <v>RMI</v>
      </c>
      <c r="H167" s="216">
        <f ca="1">IF(ISERROR($V167),"",OFFSET('Smelter Look-up'!$G$4,$V167-4,0))</f>
        <v>0</v>
      </c>
      <c r="I167" s="217" t="str">
        <f ca="1">IF(ISERROR($V167),"",OFFSET('Smelter Look-up'!$H$4,$V167-4,0))</f>
        <v>Hiratsuka</v>
      </c>
      <c r="J167" s="217" t="str">
        <f ca="1">IF(ISERROR($V167),"",OFFSET('Smelter Look-up'!$I$4,$V167-4,0))</f>
        <v>Kanagawa</v>
      </c>
      <c r="K167" s="268"/>
      <c r="L167" s="268"/>
      <c r="M167" s="268"/>
      <c r="N167" s="268"/>
      <c r="O167" s="268"/>
      <c r="P167" s="218"/>
      <c r="Q167" s="269"/>
      <c r="R167" s="215" t="str">
        <f ca="1">IF(ISERROR($V167),"",OFFSET('Smelter Look-up'!$C$4,$V167-4,0)&amp;"")</f>
        <v>Tanaka Kikinzoku Kogyo K.K.</v>
      </c>
      <c r="S167" s="222" t="str">
        <f t="shared" ca="1" si="24"/>
        <v>JP</v>
      </c>
      <c r="T167" s="222" t="str">
        <f ca="1">IF(B167="","",IF(ISERROR(MATCH($J167,SorP!$B$1:$B$6230,0)),"",INDIRECT("'SorP'!$A$"&amp;MATCH($J167,SorP!$B$1:$B$6230,0))))</f>
        <v>JP-14</v>
      </c>
      <c r="U167" s="238"/>
      <c r="V167" s="270">
        <f ca="1">IF(C167="",NA(),MATCH($B167&amp;$C167,'Smelter Look-up'!$J:$J,0))</f>
        <v>271</v>
      </c>
      <c r="W167" s="271"/>
      <c r="X167" s="271">
        <f t="shared" ca="1" si="25"/>
        <v>0</v>
      </c>
      <c r="Y167" s="271"/>
      <c r="Z167" s="271"/>
      <c r="AB167" s="273" t="str">
        <f t="shared" ca="1" si="26"/>
        <v>GoldTanaka Kikinzoku Kogyo K.K.</v>
      </c>
    </row>
    <row r="168" spans="1:28" s="272" customFormat="1" ht="76.5">
      <c r="A168" s="214" t="s">
        <v>1391</v>
      </c>
      <c r="B168" s="215" t="str">
        <f ca="1">IF(LEN(A168)=0,"",INDEX('Smelter Look-up'!$A:$A,MATCH($A168,'Smelter Look-up'!$E:$E,0)))</f>
        <v>Gold</v>
      </c>
      <c r="C168" s="219" t="str">
        <f ca="1">IF(LEN(A168)=0,"",INDEX('Smelter Look-up'!$C:$C,MATCH($A168,'Smelter Look-up'!$E:$E,0)))</f>
        <v>MMTC-PAMP India Pvt., Ltd.</v>
      </c>
      <c r="D168" s="278"/>
      <c r="E168" s="215" t="str">
        <f ca="1">IF(ISERROR($V168),"",OFFSET('Smelter Look-up'!$D$4,$V168-4,0)&amp;"")</f>
        <v>INDIA</v>
      </c>
      <c r="F168" s="215" t="str">
        <f ca="1">IF(ISERROR($V168),"",OFFSET('Smelter Look-up'!$E$4,$V168-4,0))</f>
        <v>CID002509</v>
      </c>
      <c r="G168" s="215" t="str">
        <f ca="1">IF(C168=$X$4,"Enter smelter details",IF(ISERROR($V168),"",OFFSET('Smelter Look-up'!$F$4,$V168-4,0)))</f>
        <v>RMI</v>
      </c>
      <c r="H168" s="216">
        <f ca="1">IF(ISERROR($V168),"",OFFSET('Smelter Look-up'!$G$4,$V168-4,0))</f>
        <v>0</v>
      </c>
      <c r="I168" s="217" t="str">
        <f ca="1">IF(ISERROR($V168),"",OFFSET('Smelter Look-up'!$H$4,$V168-4,0))</f>
        <v>Mewat</v>
      </c>
      <c r="J168" s="217" t="str">
        <f ca="1">IF(ISERROR($V168),"",OFFSET('Smelter Look-up'!$I$4,$V168-4,0))</f>
        <v>Haryana</v>
      </c>
      <c r="K168" s="268"/>
      <c r="L168" s="268"/>
      <c r="M168" s="268"/>
      <c r="N168" s="268"/>
      <c r="O168" s="268"/>
      <c r="P168" s="218"/>
      <c r="Q168" s="269"/>
      <c r="R168" s="215" t="str">
        <f ca="1">IF(ISERROR($V168),"",OFFSET('Smelter Look-up'!$C$4,$V168-4,0)&amp;"")</f>
        <v>MMTC-PAMP India Pvt., Ltd.</v>
      </c>
      <c r="S168" s="222" t="str">
        <f t="shared" ca="1" si="24"/>
        <v>IN</v>
      </c>
      <c r="T168" s="222" t="str">
        <f ca="1">IF(B168="","",IF(ISERROR(MATCH($J168,SorP!$B$1:$B$6230,0)),"",INDIRECT("'SorP'!$A$"&amp;MATCH($J168,SorP!$B$1:$B$6230,0))))</f>
        <v>IN-HR</v>
      </c>
      <c r="U168" s="238"/>
      <c r="V168" s="270">
        <f ca="1">IF(C168="",NA(),MATCH($B168&amp;$C168,'Smelter Look-up'!$J:$J,0))</f>
        <v>180</v>
      </c>
      <c r="W168" s="271"/>
      <c r="X168" s="271">
        <f t="shared" ca="1" si="25"/>
        <v>0</v>
      </c>
      <c r="Y168" s="271"/>
      <c r="Z168" s="271"/>
      <c r="AB168" s="273" t="str">
        <f t="shared" ca="1" si="26"/>
        <v>GoldMMTC-PAMP India Pvt., Ltd.</v>
      </c>
    </row>
    <row r="169" spans="1:28" s="272" customFormat="1" ht="21.75" customHeight="1">
      <c r="A169" s="214" t="s">
        <v>15629</v>
      </c>
      <c r="B169" s="215" t="s">
        <v>1131</v>
      </c>
      <c r="C169" s="358" t="s">
        <v>942</v>
      </c>
      <c r="D169" s="278" t="s">
        <v>15669</v>
      </c>
      <c r="E169" s="215" t="s">
        <v>15664</v>
      </c>
      <c r="F169" s="215" t="s">
        <v>15629</v>
      </c>
      <c r="G169" s="215" t="s">
        <v>13459</v>
      </c>
      <c r="H169" s="359" t="s">
        <v>15670</v>
      </c>
      <c r="I169" s="360">
        <v>0</v>
      </c>
      <c r="J169" s="360">
        <v>0</v>
      </c>
      <c r="K169" s="272" t="s">
        <v>15671</v>
      </c>
      <c r="L169" s="272" t="s">
        <v>15672</v>
      </c>
      <c r="M169" s="268"/>
      <c r="N169" s="268"/>
      <c r="O169" s="268"/>
      <c r="P169" s="218"/>
      <c r="Q169" s="269"/>
      <c r="R169" s="215" t="str">
        <f ca="1">IF(ISERROR($V169),"",OFFSET('Smelter Look-up'!$C$4,$V169-4,0)&amp;"")</f>
        <v/>
      </c>
      <c r="S169" s="222" t="str">
        <f t="shared" ca="1" si="24"/>
        <v>ID</v>
      </c>
      <c r="T169" s="222" t="str">
        <f ca="1">IF(B169="","",IF(ISERROR(MATCH($J169,SorP!$B$1:$B$6230,0)),"",INDIRECT("'SorP'!$A$"&amp;MATCH($J169,SorP!$B$1:$B$6230,0))))</f>
        <v/>
      </c>
      <c r="U169" s="238"/>
      <c r="V169" s="270">
        <f>IF(C169="",NA(),MATCH($B169&amp;$C169,'Smelter Look-up'!$J:$J,0))</f>
        <v>531</v>
      </c>
      <c r="W169" s="271"/>
      <c r="X169" s="271">
        <f t="shared" si="25"/>
        <v>0</v>
      </c>
      <c r="Y169" s="271"/>
      <c r="Z169" s="271"/>
      <c r="AB169" s="273" t="str">
        <f t="shared" si="26"/>
        <v>TinSmelter Not Listed</v>
      </c>
    </row>
    <row r="170" spans="1:28" s="272" customFormat="1" ht="76.5">
      <c r="A170" s="214" t="s">
        <v>1829</v>
      </c>
      <c r="B170" s="215" t="str">
        <f ca="1">IF(LEN(A170)=0,"",INDEX('Smelter Look-up'!$A:$A,MATCH($A170,'Smelter Look-up'!$E:$E,0)))</f>
        <v>Tin</v>
      </c>
      <c r="C170" s="219" t="str">
        <f ca="1">IF(LEN(A170)=0,"",INDEX('Smelter Look-up'!$C:$C,MATCH($A170,'Smelter Look-up'!$E:$E,0)))</f>
        <v>Resind Industria e Comercio Ltda.</v>
      </c>
      <c r="D170" s="278"/>
      <c r="E170" s="215" t="str">
        <f ca="1">IF(ISERROR($V170),"",OFFSET('Smelter Look-up'!$D$4,$V170-4,0)&amp;"")</f>
        <v>BRAZIL</v>
      </c>
      <c r="F170" s="215" t="str">
        <f ca="1">IF(ISERROR($V170),"",OFFSET('Smelter Look-up'!$E$4,$V170-4,0))</f>
        <v>CID002706</v>
      </c>
      <c r="G170" s="215" t="str">
        <f ca="1">IF(C170=$X$4,"Enter smelter details",IF(ISERROR($V170),"",OFFSET('Smelter Look-up'!$F$4,$V170-4,0)))</f>
        <v>RMI</v>
      </c>
      <c r="H170" s="216">
        <f ca="1">IF(ISERROR($V170),"",OFFSET('Smelter Look-up'!$G$4,$V170-4,0))</f>
        <v>0</v>
      </c>
      <c r="I170" s="217" t="str">
        <f ca="1">IF(ISERROR($V170),"",OFFSET('Smelter Look-up'!$H$4,$V170-4,0))</f>
        <v>São João del Rei</v>
      </c>
      <c r="J170" s="217" t="str">
        <f ca="1">IF(ISERROR($V170),"",OFFSET('Smelter Look-up'!$I$4,$V170-4,0))</f>
        <v>Minas gerais</v>
      </c>
      <c r="K170" s="268"/>
      <c r="L170" s="268"/>
      <c r="M170" s="268"/>
      <c r="N170" s="268"/>
      <c r="O170" s="268"/>
      <c r="P170" s="218"/>
      <c r="Q170" s="269"/>
      <c r="R170" s="215" t="str">
        <f ca="1">IF(ISERROR($V170),"",OFFSET('Smelter Look-up'!$C$4,$V170-4,0)&amp;"")</f>
        <v>Resind Industria e Comercio Ltda.</v>
      </c>
      <c r="S170" s="222" t="str">
        <f t="shared" ca="1" si="24"/>
        <v>BR</v>
      </c>
      <c r="T170" s="222" t="str">
        <f ca="1">IF(B170="","",IF(ISERROR(MATCH($J170,SorP!$B$1:$B$6230,0)),"",INDIRECT("'SorP'!$A$"&amp;MATCH($J170,SorP!$B$1:$B$6230,0))))</f>
        <v>BR-MG</v>
      </c>
      <c r="U170" s="238"/>
      <c r="V170" s="270">
        <f ca="1">IF(C170="",NA(),MATCH($B170&amp;$C170,'Smelter Look-up'!$J:$J,0))</f>
        <v>495</v>
      </c>
      <c r="W170" s="271"/>
      <c r="X170" s="271">
        <f t="shared" ca="1" si="25"/>
        <v>0</v>
      </c>
      <c r="Y170" s="271"/>
      <c r="Z170" s="271"/>
      <c r="AB170" s="273" t="str">
        <f t="shared" ca="1" si="26"/>
        <v>TinResind Industria e Comercio Ltda.</v>
      </c>
    </row>
    <row r="171" spans="1:28" s="272" customFormat="1" ht="114.75">
      <c r="A171" s="214" t="s">
        <v>2153</v>
      </c>
      <c r="B171" s="215" t="str">
        <f ca="1">IF(LEN(A171)=0,"",INDEX('Smelter Look-up'!$A:$A,MATCH($A171,'Smelter Look-up'!$E:$E,0)))</f>
        <v>Tin</v>
      </c>
      <c r="C171" s="219" t="str">
        <f ca="1">IF(LEN(A171)=0,"",INDEX('Smelter Look-up'!$C:$C,MATCH($A171,'Smelter Look-up'!$E:$E,0)))</f>
        <v>An Vinh Joint Stock Mineral Processing Company</v>
      </c>
      <c r="D171" s="278"/>
      <c r="E171" s="215" t="str">
        <f ca="1">IF(ISERROR($V171),"",OFFSET('Smelter Look-up'!$D$4,$V171-4,0)&amp;"")</f>
        <v>VIET NAM</v>
      </c>
      <c r="F171" s="215" t="str">
        <f ca="1">IF(ISERROR($V171),"",OFFSET('Smelter Look-up'!$E$4,$V171-4,0))</f>
        <v>CID002703</v>
      </c>
      <c r="G171" s="215" t="str">
        <f ca="1">IF(C171=$X$4,"Enter smelter details",IF(ISERROR($V171),"",OFFSET('Smelter Look-up'!$F$4,$V171-4,0)))</f>
        <v>RMI</v>
      </c>
      <c r="H171" s="216">
        <f ca="1">IF(ISERROR($V171),"",OFFSET('Smelter Look-up'!$G$4,$V171-4,0))</f>
        <v>0</v>
      </c>
      <c r="I171" s="217" t="str">
        <f ca="1">IF(ISERROR($V171),"",OFFSET('Smelter Look-up'!$H$4,$V171-4,0))</f>
        <v>Quy Hop</v>
      </c>
      <c r="J171" s="217" t="str">
        <f ca="1">IF(ISERROR($V171),"",OFFSET('Smelter Look-up'!$I$4,$V171-4,0))</f>
        <v>Nghệ An</v>
      </c>
      <c r="K171" s="268"/>
      <c r="L171" s="268"/>
      <c r="M171" s="268"/>
      <c r="N171" s="268"/>
      <c r="O171" s="268"/>
      <c r="P171" s="218"/>
      <c r="Q171" s="269"/>
      <c r="R171" s="215" t="str">
        <f ca="1">IF(ISERROR($V171),"",OFFSET('Smelter Look-up'!$C$4,$V171-4,0)&amp;"")</f>
        <v>An Vinh Joint Stock Mineral Processing Company</v>
      </c>
      <c r="S171" s="222" t="str">
        <f t="shared" ca="1" si="24"/>
        <v>VN</v>
      </c>
      <c r="T171" s="222" t="str">
        <f ca="1">IF(B171="","",IF(ISERROR(MATCH($J171,SorP!$B$1:$B$6230,0)),"",INDIRECT("'SorP'!$A$"&amp;MATCH($J171,SorP!$B$1:$B$6230,0))))</f>
        <v>VN-22</v>
      </c>
      <c r="U171" s="238"/>
      <c r="V171" s="270">
        <f ca="1">IF(C171="",NA(),MATCH($B171&amp;$C171,'Smelter Look-up'!$J:$J,0))</f>
        <v>388</v>
      </c>
      <c r="W171" s="271"/>
      <c r="X171" s="271">
        <f t="shared" ca="1" si="25"/>
        <v>0</v>
      </c>
      <c r="Y171" s="271"/>
      <c r="Z171" s="271"/>
      <c r="AB171" s="273" t="str">
        <f t="shared" ca="1" si="26"/>
        <v>TinAn Vinh Joint Stock Mineral Processing Company</v>
      </c>
    </row>
    <row r="172" spans="1:28" s="272" customFormat="1" ht="114.75">
      <c r="A172" s="214" t="s">
        <v>745</v>
      </c>
      <c r="B172" s="215" t="str">
        <f ca="1">IF(LEN(A172)=0,"",INDEX('Smelter Look-up'!$A:$A,MATCH($A172,'Smelter Look-up'!$E:$E,0)))</f>
        <v>Gold</v>
      </c>
      <c r="C172" s="219" t="str">
        <f ca="1">IF(LEN(A172)=0,"",INDEX('Smelter Look-up'!$C:$C,MATCH($A172,'Smelter Look-up'!$E:$E,0)))</f>
        <v>Zhongyuan Gold Smelter of Zhongjin Gold Corporation</v>
      </c>
      <c r="D172" s="278"/>
      <c r="E172" s="215" t="str">
        <f ca="1">IF(ISERROR($V172),"",OFFSET('Smelter Look-up'!$D$4,$V172-4,0)&amp;"")</f>
        <v>CHINA</v>
      </c>
      <c r="F172" s="215" t="str">
        <f ca="1">IF(ISERROR($V172),"",OFFSET('Smelter Look-up'!$E$4,$V172-4,0))</f>
        <v>CID002224</v>
      </c>
      <c r="G172" s="215" t="str">
        <f ca="1">IF(C172=$X$4,"Enter smelter details",IF(ISERROR($V172),"",OFFSET('Smelter Look-up'!$F$4,$V172-4,0)))</f>
        <v>RMI</v>
      </c>
      <c r="H172" s="216">
        <f ca="1">IF(ISERROR($V172),"",OFFSET('Smelter Look-up'!$G$4,$V172-4,0))</f>
        <v>0</v>
      </c>
      <c r="I172" s="217" t="str">
        <f ca="1">IF(ISERROR($V172),"",OFFSET('Smelter Look-up'!$H$4,$V172-4,0))</f>
        <v>Sanmenxia</v>
      </c>
      <c r="J172" s="217" t="str">
        <f ca="1">IF(ISERROR($V172),"",OFFSET('Smelter Look-up'!$I$4,$V172-4,0))</f>
        <v>Henan Sheng</v>
      </c>
      <c r="K172" s="268"/>
      <c r="L172" s="268"/>
      <c r="M172" s="268"/>
      <c r="N172" s="268"/>
      <c r="O172" s="268"/>
      <c r="P172" s="218"/>
      <c r="Q172" s="269"/>
      <c r="R172" s="215" t="str">
        <f ca="1">IF(ISERROR($V172),"",OFFSET('Smelter Look-up'!$C$4,$V172-4,0)&amp;"")</f>
        <v>Zhongyuan Gold Smelter of Zhongjin Gold Corporation</v>
      </c>
      <c r="S172" s="222" t="str">
        <f t="shared" ca="1" si="24"/>
        <v>CN</v>
      </c>
      <c r="T172" s="222" t="str">
        <f ca="1">IF(B172="","",IF(ISERROR(MATCH($J172,SorP!$B$1:$B$6230,0)),"",INDIRECT("'SorP'!$A$"&amp;MATCH($J172,SorP!$B$1:$B$6230,0))))</f>
        <v>CN-HA</v>
      </c>
      <c r="U172" s="238"/>
      <c r="V172" s="270">
        <f ca="1">IF(C172="",NA(),MATCH($B172&amp;$C172,'Smelter Look-up'!$J:$J,0))</f>
        <v>310</v>
      </c>
      <c r="W172" s="271"/>
      <c r="X172" s="271">
        <f t="shared" ca="1" si="25"/>
        <v>0</v>
      </c>
      <c r="Y172" s="271"/>
      <c r="Z172" s="271"/>
      <c r="AB172" s="273" t="str">
        <f t="shared" ca="1" si="26"/>
        <v>GoldZhongyuan Gold Smelter of Zhongjin Gold Corporation</v>
      </c>
    </row>
    <row r="173" spans="1:28" s="272" customFormat="1" ht="76.5">
      <c r="A173" s="214" t="s">
        <v>139</v>
      </c>
      <c r="B173" s="215" t="str">
        <f ca="1">IF(LEN(A173)=0,"",INDEX('Smelter Look-up'!$A:$A,MATCH($A173,'Smelter Look-up'!$E:$E,0)))</f>
        <v>Tin</v>
      </c>
      <c r="C173" s="219" t="str">
        <f ca="1">IF(LEN(A173)=0,"",INDEX('Smelter Look-up'!$C:$C,MATCH($A173,'Smelter Look-up'!$E:$E,0)))</f>
        <v>Magnu's Minerais Metais e Ligas Ltda.</v>
      </c>
      <c r="D173" s="278"/>
      <c r="E173" s="215" t="str">
        <f ca="1">IF(ISERROR($V173),"",OFFSET('Smelter Look-up'!$D$4,$V173-4,0)&amp;"")</f>
        <v>BRAZIL</v>
      </c>
      <c r="F173" s="215" t="str">
        <f ca="1">IF(ISERROR($V173),"",OFFSET('Smelter Look-up'!$E$4,$V173-4,0))</f>
        <v>CID002468</v>
      </c>
      <c r="G173" s="215" t="str">
        <f ca="1">IF(C173=$X$4,"Enter smelter details",IF(ISERROR($V173),"",OFFSET('Smelter Look-up'!$F$4,$V173-4,0)))</f>
        <v>RMI</v>
      </c>
      <c r="H173" s="216">
        <f ca="1">IF(ISERROR($V173),"",OFFSET('Smelter Look-up'!$G$4,$V173-4,0))</f>
        <v>0</v>
      </c>
      <c r="I173" s="217" t="str">
        <f ca="1">IF(ISERROR($V173),"",OFFSET('Smelter Look-up'!$H$4,$V173-4,0))</f>
        <v>São João del Rei</v>
      </c>
      <c r="J173" s="217" t="str">
        <f ca="1">IF(ISERROR($V173),"",OFFSET('Smelter Look-up'!$I$4,$V173-4,0))</f>
        <v>Minas Gerais</v>
      </c>
      <c r="K173" s="268"/>
      <c r="L173" s="268"/>
      <c r="M173" s="268"/>
      <c r="N173" s="268"/>
      <c r="O173" s="268"/>
      <c r="P173" s="218"/>
      <c r="Q173" s="269"/>
      <c r="R173" s="215" t="str">
        <f ca="1">IF(ISERROR($V173),"",OFFSET('Smelter Look-up'!$C$4,$V173-4,0)&amp;"")</f>
        <v>Magnu's Minerais Metais e Ligas Ltda.</v>
      </c>
      <c r="S173" s="222" t="str">
        <f t="shared" ca="1" si="24"/>
        <v>BR</v>
      </c>
      <c r="T173" s="222" t="str">
        <f ca="1">IF(B173="","",IF(ISERROR(MATCH($J173,SorP!$B$1:$B$6230,0)),"",INDIRECT("'SorP'!$A$"&amp;MATCH($J173,SorP!$B$1:$B$6230,0))))</f>
        <v>BR-MG</v>
      </c>
      <c r="U173" s="238"/>
      <c r="V173" s="270">
        <f ca="1">IF(C173="",NA(),MATCH($B173&amp;$C173,'Smelter Look-up'!$J:$J,0))</f>
        <v>448</v>
      </c>
      <c r="W173" s="271"/>
      <c r="X173" s="271">
        <f t="shared" ca="1" si="25"/>
        <v>0</v>
      </c>
      <c r="Y173" s="271"/>
      <c r="Z173" s="271"/>
      <c r="AB173" s="273" t="str">
        <f t="shared" ca="1" si="26"/>
        <v>TinMagnu's Minerais Metais e Ligas Ltda.</v>
      </c>
    </row>
    <row r="174" spans="1:28" s="272" customFormat="1" ht="51">
      <c r="A174" s="214" t="s">
        <v>1703</v>
      </c>
      <c r="B174" s="215" t="str">
        <f ca="1">IF(LEN(A174)=0,"",INDEX('Smelter Look-up'!$A:$A,MATCH($A174,'Smelter Look-up'!$E:$E,0)))</f>
        <v>Gold</v>
      </c>
      <c r="C174" s="219" t="str">
        <f ca="1">IF(LEN(A174)=0,"",INDEX('Smelter Look-up'!$C:$C,MATCH($A174,'Smelter Look-up'!$E:$E,0)))</f>
        <v>Geib Refining Corporation</v>
      </c>
      <c r="D174" s="278"/>
      <c r="E174" s="215" t="str">
        <f ca="1">IF(ISERROR($V174),"",OFFSET('Smelter Look-up'!$D$4,$V174-4,0)&amp;"")</f>
        <v>UNITED STATES OF AMERICA</v>
      </c>
      <c r="F174" s="215" t="str">
        <f ca="1">IF(ISERROR($V174),"",OFFSET('Smelter Look-up'!$E$4,$V174-4,0))</f>
        <v>CID002459</v>
      </c>
      <c r="G174" s="215" t="str">
        <f ca="1">IF(C174=$X$4,"Enter smelter details",IF(ISERROR($V174),"",OFFSET('Smelter Look-up'!$F$4,$V174-4,0)))</f>
        <v>RMI</v>
      </c>
      <c r="H174" s="216">
        <f ca="1">IF(ISERROR($V174),"",OFFSET('Smelter Look-up'!$G$4,$V174-4,0))</f>
        <v>0</v>
      </c>
      <c r="I174" s="217" t="str">
        <f ca="1">IF(ISERROR($V174),"",OFFSET('Smelter Look-up'!$H$4,$V174-4,0))</f>
        <v>Warwick</v>
      </c>
      <c r="J174" s="217" t="str">
        <f ca="1">IF(ISERROR($V174),"",OFFSET('Smelter Look-up'!$I$4,$V174-4,0))</f>
        <v>Rhode Island</v>
      </c>
      <c r="K174" s="268"/>
      <c r="L174" s="268"/>
      <c r="M174" s="268"/>
      <c r="N174" s="268"/>
      <c r="O174" s="268"/>
      <c r="P174" s="218"/>
      <c r="Q174" s="269"/>
      <c r="R174" s="215" t="str">
        <f ca="1">IF(ISERROR($V174),"",OFFSET('Smelter Look-up'!$C$4,$V174-4,0)&amp;"")</f>
        <v>Geib Refining Corporation</v>
      </c>
      <c r="S174" s="222" t="str">
        <f t="shared" ca="1" si="24"/>
        <v>US</v>
      </c>
      <c r="T174" s="222" t="str">
        <f ca="1">IF(B174="","",IF(ISERROR(MATCH($J174,SorP!$B$1:$B$6230,0)),"",INDIRECT("'SorP'!$A$"&amp;MATCH($J174,SorP!$B$1:$B$6230,0))))</f>
        <v>US-RI</v>
      </c>
      <c r="U174" s="238"/>
      <c r="V174" s="270">
        <f ca="1">IF(C174="",NA(),MATCH($B174&amp;$C174,'Smelter Look-up'!$J:$J,0))</f>
        <v>85</v>
      </c>
      <c r="W174" s="271"/>
      <c r="X174" s="271">
        <f t="shared" ca="1" si="25"/>
        <v>0</v>
      </c>
      <c r="Y174" s="271"/>
      <c r="Z174" s="271"/>
      <c r="AB174" s="273" t="str">
        <f t="shared" ca="1" si="26"/>
        <v>GoldGeib Refining Corporation</v>
      </c>
    </row>
    <row r="175" spans="1:28" s="272" customFormat="1" ht="63.75">
      <c r="A175" s="214" t="s">
        <v>2465</v>
      </c>
      <c r="B175" s="215" t="str">
        <f ca="1">IF(LEN(A175)=0,"",INDEX('Smelter Look-up'!$A:$A,MATCH($A175,'Smelter Look-up'!$E:$E,0)))</f>
        <v>Gold</v>
      </c>
      <c r="C175" s="219" t="str">
        <f ca="1">IF(LEN(A175)=0,"",INDEX('Smelter Look-up'!$C:$C,MATCH($A175,'Smelter Look-up'!$E:$E,0)))</f>
        <v>Abington Reldan Metals, LLC</v>
      </c>
      <c r="D175" s="278"/>
      <c r="E175" s="215" t="str">
        <f ca="1">IF(ISERROR($V175),"",OFFSET('Smelter Look-up'!$D$4,$V175-4,0)&amp;"")</f>
        <v>UNITED STATES OF AMERICA</v>
      </c>
      <c r="F175" s="215" t="str">
        <f ca="1">IF(ISERROR($V175),"",OFFSET('Smelter Look-up'!$E$4,$V175-4,0))</f>
        <v>CID002708</v>
      </c>
      <c r="G175" s="215" t="str">
        <f ca="1">IF(C175=$X$4,"Enter smelter details",IF(ISERROR($V175),"",OFFSET('Smelter Look-up'!$F$4,$V175-4,0)))</f>
        <v>RMI</v>
      </c>
      <c r="H175" s="216">
        <f ca="1">IF(ISERROR($V175),"",OFFSET('Smelter Look-up'!$G$4,$V175-4,0))</f>
        <v>0</v>
      </c>
      <c r="I175" s="217" t="str">
        <f ca="1">IF(ISERROR($V175),"",OFFSET('Smelter Look-up'!$H$4,$V175-4,0))</f>
        <v>Fairless Hills</v>
      </c>
      <c r="J175" s="217" t="str">
        <f ca="1">IF(ISERROR($V175),"",OFFSET('Smelter Look-up'!$I$4,$V175-4,0))</f>
        <v>Pennsylvania</v>
      </c>
      <c r="K175" s="268"/>
      <c r="L175" s="268"/>
      <c r="M175" s="268"/>
      <c r="N175" s="268"/>
      <c r="O175" s="268"/>
      <c r="P175" s="218"/>
      <c r="Q175" s="269"/>
      <c r="R175" s="215" t="str">
        <f ca="1">IF(ISERROR($V175),"",OFFSET('Smelter Look-up'!$C$4,$V175-4,0)&amp;"")</f>
        <v>Abington Reldan Metals, LLC</v>
      </c>
      <c r="S175" s="222" t="str">
        <f t="shared" ca="1" si="24"/>
        <v>US</v>
      </c>
      <c r="T175" s="222" t="str">
        <f ca="1">IF(B175="","",IF(ISERROR(MATCH($J175,SorP!$B$1:$B$6230,0)),"",INDIRECT("'SorP'!$A$"&amp;MATCH($J175,SorP!$B$1:$B$6230,0))))</f>
        <v>US-PA</v>
      </c>
      <c r="U175" s="238"/>
      <c r="V175" s="270">
        <f ca="1">IF(C175="",NA(),MATCH($B175&amp;$C175,'Smelter Look-up'!$J:$J,0))</f>
        <v>6</v>
      </c>
      <c r="W175" s="271"/>
      <c r="X175" s="271">
        <f t="shared" ca="1" si="25"/>
        <v>0</v>
      </c>
      <c r="Y175" s="271"/>
      <c r="Z175" s="271"/>
      <c r="AB175" s="273" t="str">
        <f t="shared" ca="1" si="26"/>
        <v>GoldAbington Reldan Metals, LLC</v>
      </c>
    </row>
    <row r="176" spans="1:28" s="272" customFormat="1" ht="165.75">
      <c r="A176" s="214" t="s">
        <v>2553</v>
      </c>
      <c r="B176" s="215" t="str">
        <f ca="1">IF(LEN(A176)=0,"",INDEX('Smelter Look-up'!$A:$A,MATCH($A176,'Smelter Look-up'!$E:$E,0)))</f>
        <v>Gold</v>
      </c>
      <c r="C176" s="219" t="str">
        <f ca="1">IF(LEN(A176)=0,"",INDEX('Smelter Look-up'!$C:$C,MATCH($A176,'Smelter Look-up'!$E:$E,0)))</f>
        <v>State Research Institute Center for Physical Sciences and Technology</v>
      </c>
      <c r="D176" s="278"/>
      <c r="E176" s="215" t="str">
        <f ca="1">IF(ISERROR($V176),"",OFFSET('Smelter Look-up'!$D$4,$V176-4,0)&amp;"")</f>
        <v>LITHUANIA</v>
      </c>
      <c r="F176" s="215" t="str">
        <f ca="1">IF(ISERROR($V176),"",OFFSET('Smelter Look-up'!$E$4,$V176-4,0))</f>
        <v>CID003153</v>
      </c>
      <c r="G176" s="215" t="str">
        <f ca="1">IF(C176=$X$4,"Enter smelter details",IF(ISERROR($V176),"",OFFSET('Smelter Look-up'!$F$4,$V176-4,0)))</f>
        <v>RMI</v>
      </c>
      <c r="H176" s="216">
        <f ca="1">IF(ISERROR($V176),"",OFFSET('Smelter Look-up'!$G$4,$V176-4,0))</f>
        <v>0</v>
      </c>
      <c r="I176" s="217" t="str">
        <f ca="1">IF(ISERROR($V176),"",OFFSET('Smelter Look-up'!$H$4,$V176-4,0))</f>
        <v>Vilnius</v>
      </c>
      <c r="J176" s="217" t="str">
        <f ca="1">IF(ISERROR($V176),"",OFFSET('Smelter Look-up'!$I$4,$V176-4,0))</f>
        <v>Vilnius</v>
      </c>
      <c r="K176" s="268"/>
      <c r="L176" s="268"/>
      <c r="M176" s="268"/>
      <c r="N176" s="268"/>
      <c r="O176" s="268"/>
      <c r="P176" s="218"/>
      <c r="Q176" s="269"/>
      <c r="R176" s="215" t="str">
        <f ca="1">IF(ISERROR($V176),"",OFFSET('Smelter Look-up'!$C$4,$V176-4,0)&amp;"")</f>
        <v>State Research Institute Center for Physical Sciences and Technology</v>
      </c>
      <c r="S176" s="222" t="str">
        <f t="shared" ca="1" si="24"/>
        <v>LT</v>
      </c>
      <c r="T176" s="222" t="str">
        <f ca="1">IF(B176="","",IF(ISERROR(MATCH($J176,SorP!$B$1:$B$6230,0)),"",INDIRECT("'SorP'!$A$"&amp;MATCH($J176,SorP!$B$1:$B$6230,0))))</f>
        <v>LT-58</v>
      </c>
      <c r="U176" s="238"/>
      <c r="V176" s="270">
        <f ca="1">IF(C176="",NA(),MATCH($B176&amp;$C176,'Smelter Look-up'!$J:$J,0))</f>
        <v>256</v>
      </c>
      <c r="W176" s="271"/>
      <c r="X176" s="271">
        <f t="shared" ca="1" si="25"/>
        <v>0</v>
      </c>
      <c r="Y176" s="271"/>
      <c r="Z176" s="271"/>
      <c r="AB176" s="273" t="str">
        <f t="shared" ca="1" si="26"/>
        <v>GoldState Research Institute Center for Physical Sciences and Technology</v>
      </c>
    </row>
    <row r="177" spans="1:28" s="272" customFormat="1" ht="25.5">
      <c r="A177" s="214" t="s">
        <v>660</v>
      </c>
      <c r="B177" s="215" t="str">
        <f ca="1">IF(LEN(A177)=0,"",INDEX('Smelter Look-up'!$A:$A,MATCH($A177,'Smelter Look-up'!$E:$E,0)))</f>
        <v>Gold</v>
      </c>
      <c r="C177" s="219" t="str">
        <f ca="1">IF(LEN(A177)=0,"",INDEX('Smelter Look-up'!$C:$C,MATCH($A177,'Smelter Look-up'!$E:$E,0)))</f>
        <v>Boliden AB</v>
      </c>
      <c r="D177" s="278"/>
      <c r="E177" s="215" t="str">
        <f ca="1">IF(ISERROR($V177),"",OFFSET('Smelter Look-up'!$D$4,$V177-4,0)&amp;"")</f>
        <v>SWEDEN</v>
      </c>
      <c r="F177" s="215" t="str">
        <f ca="1">IF(ISERROR($V177),"",OFFSET('Smelter Look-up'!$E$4,$V177-4,0))</f>
        <v>CID000157</v>
      </c>
      <c r="G177" s="215" t="str">
        <f ca="1">IF(C177=$X$4,"Enter smelter details",IF(ISERROR($V177),"",OFFSET('Smelter Look-up'!$F$4,$V177-4,0)))</f>
        <v>RMI</v>
      </c>
      <c r="H177" s="216">
        <f ca="1">IF(ISERROR($V177),"",OFFSET('Smelter Look-up'!$G$4,$V177-4,0))</f>
        <v>0</v>
      </c>
      <c r="I177" s="217" t="str">
        <f ca="1">IF(ISERROR($V177),"",OFFSET('Smelter Look-up'!$H$4,$V177-4,0))</f>
        <v>Skelleftehamn</v>
      </c>
      <c r="J177" s="217" t="str">
        <f ca="1">IF(ISERROR($V177),"",OFFSET('Smelter Look-up'!$I$4,$V177-4,0))</f>
        <v>Västerbottens län [SE-24]</v>
      </c>
      <c r="K177" s="268"/>
      <c r="L177" s="268"/>
      <c r="M177" s="268"/>
      <c r="N177" s="268"/>
      <c r="O177" s="268"/>
      <c r="P177" s="218"/>
      <c r="Q177" s="269"/>
      <c r="R177" s="215" t="str">
        <f ca="1">IF(ISERROR($V177),"",OFFSET('Smelter Look-up'!$C$4,$V177-4,0)&amp;"")</f>
        <v>Boliden AB</v>
      </c>
      <c r="S177" s="222" t="str">
        <f t="shared" ca="1" si="24"/>
        <v>SE</v>
      </c>
      <c r="T177" s="222" t="str">
        <f ca="1">IF(B177="","",IF(ISERROR(MATCH($J177,SorP!$B$1:$B$6230,0)),"",INDIRECT("'SorP'!$A$"&amp;MATCH($J177,SorP!$B$1:$B$6230,0))))</f>
        <v>SE-AC</v>
      </c>
      <c r="U177" s="238"/>
      <c r="V177" s="270">
        <f ca="1">IF(C177="",NA(),MATCH($B177&amp;$C177,'Smelter Look-up'!$J:$J,0))</f>
        <v>39</v>
      </c>
      <c r="W177" s="271"/>
      <c r="X177" s="271">
        <f t="shared" ca="1" si="25"/>
        <v>0</v>
      </c>
      <c r="Y177" s="271"/>
      <c r="Z177" s="271"/>
      <c r="AB177" s="273" t="str">
        <f t="shared" ca="1" si="26"/>
        <v>GoldBoliden AB</v>
      </c>
    </row>
    <row r="178" spans="1:28" s="272" customFormat="1" ht="25.5">
      <c r="A178" s="214" t="s">
        <v>2565</v>
      </c>
      <c r="B178" s="215" t="str">
        <f ca="1">IF(LEN(A178)=0,"",INDEX('Smelter Look-up'!$A:$A,MATCH($A178,'Smelter Look-up'!$E:$E,0)))</f>
        <v>Tin</v>
      </c>
      <c r="C178" s="219" t="str">
        <f ca="1">IF(LEN(A178)=0,"",INDEX('Smelter Look-up'!$C:$C,MATCH($A178,'Smelter Look-up'!$E:$E,0)))</f>
        <v>Super Ligas</v>
      </c>
      <c r="D178" s="278"/>
      <c r="E178" s="215" t="str">
        <f ca="1">IF(ISERROR($V178),"",OFFSET('Smelter Look-up'!$D$4,$V178-4,0)&amp;"")</f>
        <v>BRAZIL</v>
      </c>
      <c r="F178" s="215" t="str">
        <f ca="1">IF(ISERROR($V178),"",OFFSET('Smelter Look-up'!$E$4,$V178-4,0))</f>
        <v>CID002756</v>
      </c>
      <c r="G178" s="215" t="str">
        <f ca="1">IF(C178=$X$4,"Enter smelter details",IF(ISERROR($V178),"",OFFSET('Smelter Look-up'!$F$4,$V178-4,0)))</f>
        <v>RMI</v>
      </c>
      <c r="H178" s="216">
        <f ca="1">IF(ISERROR($V178),"",OFFSET('Smelter Look-up'!$G$4,$V178-4,0))</f>
        <v>0</v>
      </c>
      <c r="I178" s="217" t="str">
        <f ca="1">IF(ISERROR($V178),"",OFFSET('Smelter Look-up'!$H$4,$V178-4,0))</f>
        <v>Piracicaba</v>
      </c>
      <c r="J178" s="217" t="str">
        <f ca="1">IF(ISERROR($V178),"",OFFSET('Smelter Look-up'!$I$4,$V178-4,0))</f>
        <v>São Paulo</v>
      </c>
      <c r="K178" s="268"/>
      <c r="L178" s="268"/>
      <c r="M178" s="268"/>
      <c r="N178" s="268"/>
      <c r="O178" s="268"/>
      <c r="P178" s="218"/>
      <c r="Q178" s="269"/>
      <c r="R178" s="215" t="str">
        <f ca="1">IF(ISERROR($V178),"",OFFSET('Smelter Look-up'!$C$4,$V178-4,0)&amp;"")</f>
        <v>Super Ligas</v>
      </c>
      <c r="S178" s="222" t="str">
        <f t="shared" ca="1" si="24"/>
        <v>BR</v>
      </c>
      <c r="T178" s="222" t="str">
        <f ca="1">IF(B178="","",IF(ISERROR(MATCH($J178,SorP!$B$1:$B$6230,0)),"",INDIRECT("'SorP'!$A$"&amp;MATCH($J178,SorP!$B$1:$B$6230,0))))</f>
        <v>BR-SP</v>
      </c>
      <c r="U178" s="238"/>
      <c r="V178" s="270">
        <f ca="1">IF(C178="",NA(),MATCH($B178&amp;$C178,'Smelter Look-up'!$J:$J,0))</f>
        <v>500</v>
      </c>
      <c r="W178" s="271"/>
      <c r="X178" s="271">
        <f t="shared" ca="1" si="25"/>
        <v>0</v>
      </c>
      <c r="Y178" s="271"/>
      <c r="Z178" s="271"/>
      <c r="AB178" s="273" t="str">
        <f t="shared" ca="1" si="26"/>
        <v>TinSuper Ligas</v>
      </c>
    </row>
    <row r="179" spans="1:28" s="272" customFormat="1" ht="25.5">
      <c r="A179" s="214" t="s">
        <v>14006</v>
      </c>
      <c r="B179" s="215" t="str">
        <f ca="1">IF(LEN(A179)=0,"",INDEX('Smelter Look-up'!$A:$A,MATCH($A179,'Smelter Look-up'!$E:$E,0)))</f>
        <v>Gold</v>
      </c>
      <c r="C179" s="219" t="str">
        <f ca="1">IF(LEN(A179)=0,"",INDEX('Smelter Look-up'!$C:$C,MATCH($A179,'Smelter Look-up'!$E:$E,0)))</f>
        <v>8853 S.p.A.</v>
      </c>
      <c r="D179" s="278"/>
      <c r="E179" s="215" t="str">
        <f ca="1">IF(ISERROR($V179),"",OFFSET('Smelter Look-up'!$D$4,$V179-4,0)&amp;"")</f>
        <v>ITALY</v>
      </c>
      <c r="F179" s="215" t="str">
        <f ca="1">IF(ISERROR($V179),"",OFFSET('Smelter Look-up'!$E$4,$V179-4,0))</f>
        <v>CID002763</v>
      </c>
      <c r="G179" s="215" t="str">
        <f ca="1">IF(C179=$X$4,"Enter smelter details",IF(ISERROR($V179),"",OFFSET('Smelter Look-up'!$F$4,$V179-4,0)))</f>
        <v>RMI</v>
      </c>
      <c r="H179" s="216">
        <f ca="1">IF(ISERROR($V179),"",OFFSET('Smelter Look-up'!$G$4,$V179-4,0))</f>
        <v>0</v>
      </c>
      <c r="I179" s="217" t="str">
        <f ca="1">IF(ISERROR($V179),"",OFFSET('Smelter Look-up'!$H$4,$V179-4,0))</f>
        <v>Pero</v>
      </c>
      <c r="J179" s="217" t="str">
        <f ca="1">IF(ISERROR($V179),"",OFFSET('Smelter Look-up'!$I$4,$V179-4,0))</f>
        <v>Lombardia</v>
      </c>
      <c r="K179" s="268"/>
      <c r="L179" s="268"/>
      <c r="M179" s="268"/>
      <c r="N179" s="268"/>
      <c r="O179" s="268"/>
      <c r="P179" s="218"/>
      <c r="Q179" s="269"/>
      <c r="R179" s="215" t="str">
        <f ca="1">IF(ISERROR($V179),"",OFFSET('Smelter Look-up'!$C$4,$V179-4,0)&amp;"")</f>
        <v>8853 S.p.A.</v>
      </c>
      <c r="S179" s="222" t="str">
        <f t="shared" ca="1" si="24"/>
        <v>IT</v>
      </c>
      <c r="T179" s="222" t="str">
        <f ca="1">IF(B179="","",IF(ISERROR(MATCH($J179,SorP!$B$1:$B$6230,0)),"",INDIRECT("'SorP'!$A$"&amp;MATCH($J179,SorP!$B$1:$B$6230,0))))</f>
        <v>IT-25</v>
      </c>
      <c r="U179" s="238"/>
      <c r="V179" s="270">
        <f ca="1">IF(C179="",NA(),MATCH($B179&amp;$C179,'Smelter Look-up'!$J:$J,0))</f>
        <v>5</v>
      </c>
      <c r="W179" s="271"/>
      <c r="X179" s="271">
        <f t="shared" ca="1" si="25"/>
        <v>0</v>
      </c>
      <c r="Y179" s="271"/>
      <c r="Z179" s="271"/>
      <c r="AB179" s="273" t="str">
        <f t="shared" ca="1" si="26"/>
        <v>Gold8853 S.p.A.</v>
      </c>
    </row>
    <row r="180" spans="1:28" s="272" customFormat="1" ht="38.25">
      <c r="A180" s="214" t="s">
        <v>2471</v>
      </c>
      <c r="B180" s="215" t="str">
        <f ca="1">IF(LEN(A180)=0,"",INDEX('Smelter Look-up'!$A:$A,MATCH($A180,'Smelter Look-up'!$E:$E,0)))</f>
        <v>Gold</v>
      </c>
      <c r="C180" s="219" t="str">
        <f ca="1">IF(LEN(A180)=0,"",INDEX('Smelter Look-up'!$C:$C,MATCH($A180,'Smelter Look-up'!$E:$E,0)))</f>
        <v>L'Orfebre S.A.</v>
      </c>
      <c r="D180" s="278"/>
      <c r="E180" s="215" t="str">
        <f ca="1">IF(ISERROR($V180),"",OFFSET('Smelter Look-up'!$D$4,$V180-4,0)&amp;"")</f>
        <v>ANDORRA</v>
      </c>
      <c r="F180" s="215" t="str">
        <f ca="1">IF(ISERROR($V180),"",OFFSET('Smelter Look-up'!$E$4,$V180-4,0))</f>
        <v>CID002762</v>
      </c>
      <c r="G180" s="215" t="str">
        <f ca="1">IF(C180=$X$4,"Enter smelter details",IF(ISERROR($V180),"",OFFSET('Smelter Look-up'!$F$4,$V180-4,0)))</f>
        <v>RMI</v>
      </c>
      <c r="H180" s="216">
        <f ca="1">IF(ISERROR($V180),"",OFFSET('Smelter Look-up'!$G$4,$V180-4,0))</f>
        <v>0</v>
      </c>
      <c r="I180" s="217" t="str">
        <f ca="1">IF(ISERROR($V180),"",OFFSET('Smelter Look-up'!$H$4,$V180-4,0))</f>
        <v>Andorra la Vella</v>
      </c>
      <c r="J180" s="217" t="str">
        <f ca="1">IF(ISERROR($V180),"",OFFSET('Smelter Look-up'!$I$4,$V180-4,0))</f>
        <v>Andorra la Vella</v>
      </c>
      <c r="K180" s="268"/>
      <c r="L180" s="268"/>
      <c r="M180" s="268"/>
      <c r="N180" s="268"/>
      <c r="O180" s="268"/>
      <c r="P180" s="218"/>
      <c r="Q180" s="269"/>
      <c r="R180" s="215" t="str">
        <f ca="1">IF(ISERROR($V180),"",OFFSET('Smelter Look-up'!$C$4,$V180-4,0)&amp;"")</f>
        <v>L'Orfebre S.A.</v>
      </c>
      <c r="S180" s="222" t="str">
        <f t="shared" ca="1" si="24"/>
        <v>AD</v>
      </c>
      <c r="T180" s="222" t="str">
        <f ca="1">IF(B180="","",IF(ISERROR(MATCH($J180,SorP!$B$1:$B$6230,0)),"",INDIRECT("'SorP'!$A$"&amp;MATCH($J180,SorP!$B$1:$B$6230,0))))</f>
        <v>AD-07</v>
      </c>
      <c r="U180" s="238"/>
      <c r="V180" s="270">
        <f ca="1">IF(C180="",NA(),MATCH($B180&amp;$C180,'Smelter Look-up'!$J:$J,0))</f>
        <v>152</v>
      </c>
      <c r="W180" s="271"/>
      <c r="X180" s="271">
        <f t="shared" ca="1" si="25"/>
        <v>0</v>
      </c>
      <c r="Y180" s="271"/>
      <c r="Z180" s="271"/>
      <c r="AB180" s="273" t="str">
        <f t="shared" ca="1" si="26"/>
        <v>GoldL'Orfebre S.A.</v>
      </c>
    </row>
    <row r="181" spans="1:28" s="272" customFormat="1" ht="25.5">
      <c r="A181" s="214" t="s">
        <v>2278</v>
      </c>
      <c r="B181" s="215" t="str">
        <f ca="1">IF(LEN(A181)=0,"",INDEX('Smelter Look-up'!$A:$A,MATCH($A181,'Smelter Look-up'!$E:$E,0)))</f>
        <v>Gold</v>
      </c>
      <c r="C181" s="219" t="str">
        <f ca="1">IF(LEN(A181)=0,"",INDEX('Smelter Look-up'!$C:$C,MATCH($A181,'Smelter Look-up'!$E:$E,0)))</f>
        <v>SAAMP</v>
      </c>
      <c r="D181" s="278"/>
      <c r="E181" s="215" t="str">
        <f ca="1">IF(ISERROR($V181),"",OFFSET('Smelter Look-up'!$D$4,$V181-4,0)&amp;"")</f>
        <v>FRANCE</v>
      </c>
      <c r="F181" s="215" t="str">
        <f ca="1">IF(ISERROR($V181),"",OFFSET('Smelter Look-up'!$E$4,$V181-4,0))</f>
        <v>CID002761</v>
      </c>
      <c r="G181" s="215" t="str">
        <f ca="1">IF(C181=$X$4,"Enter smelter details",IF(ISERROR($V181),"",OFFSET('Smelter Look-up'!$F$4,$V181-4,0)))</f>
        <v>RMI</v>
      </c>
      <c r="H181" s="216">
        <f ca="1">IF(ISERROR($V181),"",OFFSET('Smelter Look-up'!$G$4,$V181-4,0))</f>
        <v>0</v>
      </c>
      <c r="I181" s="217" t="str">
        <f ca="1">IF(ISERROR($V181),"",OFFSET('Smelter Look-up'!$H$4,$V181-4,0))</f>
        <v>Paris</v>
      </c>
      <c r="J181" s="217" t="str">
        <f ca="1">IF(ISERROR($V181),"",OFFSET('Smelter Look-up'!$I$4,$V181-4,0))</f>
        <v>Île-de-France</v>
      </c>
      <c r="K181" s="268"/>
      <c r="L181" s="268"/>
      <c r="M181" s="268"/>
      <c r="N181" s="268"/>
      <c r="O181" s="268"/>
      <c r="P181" s="218"/>
      <c r="Q181" s="269"/>
      <c r="R181" s="215" t="str">
        <f ca="1">IF(ISERROR($V181),"",OFFSET('Smelter Look-up'!$C$4,$V181-4,0)&amp;"")</f>
        <v>SAAMP</v>
      </c>
      <c r="S181" s="222" t="str">
        <f t="shared" ca="1" si="24"/>
        <v>FR</v>
      </c>
      <c r="T181" s="222" t="str">
        <f ca="1">IF(B181="","",IF(ISERROR(MATCH($J181,SorP!$B$1:$B$6230,0)),"",INDIRECT("'SorP'!$A$"&amp;MATCH($J181,SorP!$B$1:$B$6230,0))))</f>
        <v>FR-IDF</v>
      </c>
      <c r="U181" s="238"/>
      <c r="V181" s="270">
        <f ca="1">IF(C181="",NA(),MATCH($B181&amp;$C181,'Smelter Look-up'!$J:$J,0))</f>
        <v>216</v>
      </c>
      <c r="W181" s="271"/>
      <c r="X181" s="271">
        <f t="shared" ca="1" si="25"/>
        <v>0</v>
      </c>
      <c r="Y181" s="271"/>
      <c r="Z181" s="271"/>
      <c r="AB181" s="273" t="str">
        <f t="shared" ca="1" si="26"/>
        <v>GoldSAAMP</v>
      </c>
    </row>
    <row r="182" spans="1:28" s="272" customFormat="1" ht="25.5">
      <c r="A182" s="214" t="s">
        <v>2535</v>
      </c>
      <c r="B182" s="215" t="str">
        <f ca="1">IF(LEN(A182)=0,"",INDEX('Smelter Look-up'!$A:$A,MATCH($A182,'Smelter Look-up'!$E:$E,0)))</f>
        <v>Gold</v>
      </c>
      <c r="C182" s="219" t="str">
        <f ca="1">IF(LEN(A182)=0,"",INDEX('Smelter Look-up'!$C:$C,MATCH($A182,'Smelter Look-up'!$E:$E,0)))</f>
        <v>Italpreziosi</v>
      </c>
      <c r="D182" s="278"/>
      <c r="E182" s="215" t="str">
        <f ca="1">IF(ISERROR($V182),"",OFFSET('Smelter Look-up'!$D$4,$V182-4,0)&amp;"")</f>
        <v>ITALY</v>
      </c>
      <c r="F182" s="215" t="str">
        <f ca="1">IF(ISERROR($V182),"",OFFSET('Smelter Look-up'!$E$4,$V182-4,0))</f>
        <v>CID002765</v>
      </c>
      <c r="G182" s="215" t="str">
        <f ca="1">IF(C182=$X$4,"Enter smelter details",IF(ISERROR($V182),"",OFFSET('Smelter Look-up'!$F$4,$V182-4,0)))</f>
        <v>RMI</v>
      </c>
      <c r="H182" s="216">
        <f ca="1">IF(ISERROR($V182),"",OFFSET('Smelter Look-up'!$G$4,$V182-4,0))</f>
        <v>0</v>
      </c>
      <c r="I182" s="217" t="str">
        <f ca="1">IF(ISERROR($V182),"",OFFSET('Smelter Look-up'!$H$4,$V182-4,0))</f>
        <v>Arezzo</v>
      </c>
      <c r="J182" s="217" t="str">
        <f ca="1">IF(ISERROR($V182),"",OFFSET('Smelter Look-up'!$I$4,$V182-4,0))</f>
        <v>Toscana</v>
      </c>
      <c r="K182" s="268"/>
      <c r="L182" s="268"/>
      <c r="M182" s="268"/>
      <c r="N182" s="268"/>
      <c r="O182" s="268"/>
      <c r="P182" s="218"/>
      <c r="Q182" s="269"/>
      <c r="R182" s="215" t="str">
        <f ca="1">IF(ISERROR($V182),"",OFFSET('Smelter Look-up'!$C$4,$V182-4,0)&amp;"")</f>
        <v>Italpreziosi</v>
      </c>
      <c r="S182" s="222" t="str">
        <f t="shared" ca="1" si="24"/>
        <v>IT</v>
      </c>
      <c r="T182" s="222" t="str">
        <f ca="1">IF(B182="","",IF(ISERROR(MATCH($J182,SorP!$B$1:$B$6230,0)),"",INDIRECT("'SorP'!$A$"&amp;MATCH($J182,SorP!$B$1:$B$6230,0))))</f>
        <v>IT-52</v>
      </c>
      <c r="U182" s="238"/>
      <c r="V182" s="270">
        <f ca="1">IF(C182="",NA(),MATCH($B182&amp;$C182,'Smelter Look-up'!$J:$J,0))</f>
        <v>116</v>
      </c>
      <c r="W182" s="271"/>
      <c r="X182" s="271">
        <f t="shared" ca="1" si="25"/>
        <v>0</v>
      </c>
      <c r="Y182" s="271"/>
      <c r="Z182" s="271"/>
      <c r="AB182" s="273" t="str">
        <f t="shared" ca="1" si="26"/>
        <v>GoldItalpreziosi</v>
      </c>
    </row>
    <row r="183" spans="1:28" s="272" customFormat="1" ht="25.5">
      <c r="A183" s="214" t="s">
        <v>663</v>
      </c>
      <c r="B183" s="215" t="str">
        <f ca="1">IF(LEN(A183)=0,"",INDEX('Smelter Look-up'!$A:$A,MATCH($A183,'Smelter Look-up'!$E:$E,0)))</f>
        <v>Gold</v>
      </c>
      <c r="C183" s="219" t="str">
        <f ca="1">IF(LEN(A183)=0,"",INDEX('Smelter Look-up'!$C:$C,MATCH($A183,'Smelter Look-up'!$E:$E,0)))</f>
        <v>Caridad</v>
      </c>
      <c r="D183" s="278"/>
      <c r="E183" s="215" t="str">
        <f ca="1">IF(ISERROR($V183),"",OFFSET('Smelter Look-up'!$D$4,$V183-4,0)&amp;"")</f>
        <v>MEXICO</v>
      </c>
      <c r="F183" s="215" t="str">
        <f ca="1">IF(ISERROR($V183),"",OFFSET('Smelter Look-up'!$E$4,$V183-4,0))</f>
        <v>CID000180</v>
      </c>
      <c r="G183" s="215" t="str">
        <f ca="1">IF(C183=$X$4,"Enter smelter details",IF(ISERROR($V183),"",OFFSET('Smelter Look-up'!$F$4,$V183-4,0)))</f>
        <v>RMI</v>
      </c>
      <c r="H183" s="216">
        <f ca="1">IF(ISERROR($V183),"",OFFSET('Smelter Look-up'!$G$4,$V183-4,0))</f>
        <v>0</v>
      </c>
      <c r="I183" s="217" t="str">
        <f ca="1">IF(ISERROR($V183),"",OFFSET('Smelter Look-up'!$H$4,$V183-4,0))</f>
        <v>Nacozari</v>
      </c>
      <c r="J183" s="217" t="str">
        <f ca="1">IF(ISERROR($V183),"",OFFSET('Smelter Look-up'!$I$4,$V183-4,0))</f>
        <v>Sonora</v>
      </c>
      <c r="K183" s="268"/>
      <c r="L183" s="268"/>
      <c r="M183" s="268"/>
      <c r="N183" s="268"/>
      <c r="O183" s="268"/>
      <c r="P183" s="218"/>
      <c r="Q183" s="269"/>
      <c r="R183" s="215" t="str">
        <f ca="1">IF(ISERROR($V183),"",OFFSET('Smelter Look-up'!$C$4,$V183-4,0)&amp;"")</f>
        <v>Caridad</v>
      </c>
      <c r="S183" s="222" t="str">
        <f t="shared" ca="1" si="24"/>
        <v>MX</v>
      </c>
      <c r="T183" s="222" t="str">
        <f ca="1">IF(B183="","",IF(ISERROR(MATCH($J183,SorP!$B$1:$B$6230,0)),"",INDIRECT("'SorP'!$A$"&amp;MATCH($J183,SorP!$B$1:$B$6230,0))))</f>
        <v>MX-SON</v>
      </c>
      <c r="U183" s="238"/>
      <c r="V183" s="270">
        <f ca="1">IF(C183="",NA(),MATCH($B183&amp;$C183,'Smelter Look-up'!$J:$J,0))</f>
        <v>42</v>
      </c>
      <c r="W183" s="271"/>
      <c r="X183" s="271">
        <f t="shared" ca="1" si="25"/>
        <v>0</v>
      </c>
      <c r="Y183" s="271"/>
      <c r="Z183" s="271"/>
      <c r="AB183" s="273" t="str">
        <f t="shared" ca="1" si="26"/>
        <v>GoldCaridad</v>
      </c>
    </row>
    <row r="184" spans="1:28" s="272" customFormat="1" ht="102">
      <c r="A184" s="214" t="s">
        <v>664</v>
      </c>
      <c r="B184" s="215" t="str">
        <f ca="1">IF(LEN(A184)=0,"",INDEX('Smelter Look-up'!$A:$A,MATCH($A184,'Smelter Look-up'!$E:$E,0)))</f>
        <v>Gold</v>
      </c>
      <c r="C184" s="219" t="str">
        <f ca="1">IF(LEN(A184)=0,"",INDEX('Smelter Look-up'!$C:$C,MATCH($A184,'Smelter Look-up'!$E:$E,0)))</f>
        <v>CCR Refinery - Glencore Canada Corporation</v>
      </c>
      <c r="D184" s="278"/>
      <c r="E184" s="215" t="str">
        <f ca="1">IF(ISERROR($V184),"",OFFSET('Smelter Look-up'!$D$4,$V184-4,0)&amp;"")</f>
        <v>CANADA</v>
      </c>
      <c r="F184" s="215" t="str">
        <f ca="1">IF(ISERROR($V184),"",OFFSET('Smelter Look-up'!$E$4,$V184-4,0))</f>
        <v>CID000185</v>
      </c>
      <c r="G184" s="215" t="str">
        <f ca="1">IF(C184=$X$4,"Enter smelter details",IF(ISERROR($V184),"",OFFSET('Smelter Look-up'!$F$4,$V184-4,0)))</f>
        <v>RMI</v>
      </c>
      <c r="H184" s="216">
        <f ca="1">IF(ISERROR($V184),"",OFFSET('Smelter Look-up'!$G$4,$V184-4,0))</f>
        <v>0</v>
      </c>
      <c r="I184" s="217" t="str">
        <f ca="1">IF(ISERROR($V184),"",OFFSET('Smelter Look-up'!$H$4,$V184-4,0))</f>
        <v>Montréal</v>
      </c>
      <c r="J184" s="217" t="str">
        <f ca="1">IF(ISERROR($V184),"",OFFSET('Smelter Look-up'!$I$4,$V184-4,0))</f>
        <v>Quebec</v>
      </c>
      <c r="K184" s="268"/>
      <c r="L184" s="268"/>
      <c r="M184" s="268"/>
      <c r="N184" s="268"/>
      <c r="O184" s="268"/>
      <c r="P184" s="218"/>
      <c r="Q184" s="269"/>
      <c r="R184" s="215" t="str">
        <f ca="1">IF(ISERROR($V184),"",OFFSET('Smelter Look-up'!$C$4,$V184-4,0)&amp;"")</f>
        <v>CCR Refinery - Glencore Canada Corporation</v>
      </c>
      <c r="S184" s="222" t="str">
        <f t="shared" ca="1" si="24"/>
        <v>CA</v>
      </c>
      <c r="T184" s="222" t="str">
        <f ca="1">IF(B184="","",IF(ISERROR(MATCH($J184,SorP!$B$1:$B$6230,0)),"",INDIRECT("'SorP'!$A$"&amp;MATCH($J184,SorP!$B$1:$B$6230,0))))</f>
        <v>CA-QC</v>
      </c>
      <c r="U184" s="238"/>
      <c r="V184" s="270">
        <f ca="1">IF(C184="",NA(),MATCH($B184&amp;$C184,'Smelter Look-up'!$J:$J,0))</f>
        <v>44</v>
      </c>
      <c r="W184" s="271"/>
      <c r="X184" s="271">
        <f t="shared" ca="1" si="25"/>
        <v>0</v>
      </c>
      <c r="Y184" s="271"/>
      <c r="Z184" s="271"/>
      <c r="AB184" s="273" t="str">
        <f t="shared" ca="1" si="26"/>
        <v>GoldCCR Refinery - Glencore Canada Corporation</v>
      </c>
    </row>
    <row r="185" spans="1:28" s="272" customFormat="1" ht="25.5">
      <c r="A185" s="214" t="s">
        <v>673</v>
      </c>
      <c r="B185" s="215" t="str">
        <f ca="1">IF(LEN(A185)=0,"",INDEX('Smelter Look-up'!$A:$A,MATCH($A185,'Smelter Look-up'!$E:$E,0)))</f>
        <v>Gold</v>
      </c>
      <c r="C185" s="219" t="str">
        <f ca="1">IF(LEN(A185)=0,"",INDEX('Smelter Look-up'!$C:$C,MATCH($A185,'Smelter Look-up'!$E:$E,0)))</f>
        <v>Dowa</v>
      </c>
      <c r="D185" s="278"/>
      <c r="E185" s="215" t="str">
        <f ca="1">IF(ISERROR($V185),"",OFFSET('Smelter Look-up'!$D$4,$V185-4,0)&amp;"")</f>
        <v>JAPAN</v>
      </c>
      <c r="F185" s="215" t="str">
        <f ca="1">IF(ISERROR($V185),"",OFFSET('Smelter Look-up'!$E$4,$V185-4,0))</f>
        <v>CID000401</v>
      </c>
      <c r="G185" s="215" t="str">
        <f ca="1">IF(C185=$X$4,"Enter smelter details",IF(ISERROR($V185),"",OFFSET('Smelter Look-up'!$F$4,$V185-4,0)))</f>
        <v>RMI</v>
      </c>
      <c r="H185" s="216">
        <f ca="1">IF(ISERROR($V185),"",OFFSET('Smelter Look-up'!$G$4,$V185-4,0))</f>
        <v>0</v>
      </c>
      <c r="I185" s="217" t="str">
        <f ca="1">IF(ISERROR($V185),"",OFFSET('Smelter Look-up'!$H$4,$V185-4,0))</f>
        <v>Kosaka</v>
      </c>
      <c r="J185" s="217" t="str">
        <f ca="1">IF(ISERROR($V185),"",OFFSET('Smelter Look-up'!$I$4,$V185-4,0))</f>
        <v>Akita</v>
      </c>
      <c r="K185" s="268"/>
      <c r="L185" s="268"/>
      <c r="M185" s="268"/>
      <c r="N185" s="268"/>
      <c r="O185" s="268"/>
      <c r="P185" s="218"/>
      <c r="Q185" s="269"/>
      <c r="R185" s="215" t="str">
        <f ca="1">IF(ISERROR($V185),"",OFFSET('Smelter Look-up'!$C$4,$V185-4,0)&amp;"")</f>
        <v>Dowa</v>
      </c>
      <c r="S185" s="222" t="str">
        <f t="shared" ca="1" si="24"/>
        <v>JP</v>
      </c>
      <c r="T185" s="222" t="str">
        <f ca="1">IF(B185="","",IF(ISERROR(MATCH($J185,SorP!$B$1:$B$6230,0)),"",INDIRECT("'SorP'!$A$"&amp;MATCH($J185,SorP!$B$1:$B$6230,0))))</f>
        <v>JP-05</v>
      </c>
      <c r="U185" s="238"/>
      <c r="V185" s="270">
        <f ca="1">IF(C185="",NA(),MATCH($B185&amp;$C185,'Smelter Look-up'!$J:$J,0))</f>
        <v>64</v>
      </c>
      <c r="W185" s="271"/>
      <c r="X185" s="271">
        <f t="shared" ca="1" si="25"/>
        <v>0</v>
      </c>
      <c r="Y185" s="271"/>
      <c r="Z185" s="271"/>
      <c r="AB185" s="273" t="str">
        <f t="shared" ca="1" si="26"/>
        <v>GoldDowa</v>
      </c>
    </row>
    <row r="186" spans="1:28" s="272" customFormat="1" ht="20.25">
      <c r="A186" s="214" t="s">
        <v>1410</v>
      </c>
      <c r="B186" s="215" t="str">
        <f ca="1">IF(LEN(A186)=0,"",INDEX('Smelter Look-up'!$A:$A,MATCH($A186,'Smelter Look-up'!$E:$E,0)))</f>
        <v>Tin</v>
      </c>
      <c r="C186" s="219" t="str">
        <f ca="1">IF(LEN(A186)=0,"",INDEX('Smelter Look-up'!$C:$C,MATCH($A186,'Smelter Look-up'!$E:$E,0)))</f>
        <v>Dowa</v>
      </c>
      <c r="D186" s="278"/>
      <c r="E186" s="215" t="str">
        <f ca="1">IF(ISERROR($V186),"",OFFSET('Smelter Look-up'!$D$4,$V186-4,0)&amp;"")</f>
        <v>JAPAN</v>
      </c>
      <c r="F186" s="215" t="str">
        <f ca="1">IF(ISERROR($V186),"",OFFSET('Smelter Look-up'!$E$4,$V186-4,0))</f>
        <v>CID000402</v>
      </c>
      <c r="G186" s="215" t="str">
        <f ca="1">IF(C186=$X$4,"Enter smelter details",IF(ISERROR($V186),"",OFFSET('Smelter Look-up'!$F$4,$V186-4,0)))</f>
        <v>RMI</v>
      </c>
      <c r="H186" s="216">
        <f ca="1">IF(ISERROR($V186),"",OFFSET('Smelter Look-up'!$G$4,$V186-4,0))</f>
        <v>0</v>
      </c>
      <c r="I186" s="217" t="str">
        <f ca="1">IF(ISERROR($V186),"",OFFSET('Smelter Look-up'!$H$4,$V186-4,0))</f>
        <v>Kosaka</v>
      </c>
      <c r="J186" s="217" t="str">
        <f ca="1">IF(ISERROR($V186),"",OFFSET('Smelter Look-up'!$I$4,$V186-4,0))</f>
        <v>Akita</v>
      </c>
      <c r="K186" s="268"/>
      <c r="L186" s="268"/>
      <c r="M186" s="268"/>
      <c r="N186" s="268"/>
      <c r="O186" s="268"/>
      <c r="P186" s="218"/>
      <c r="Q186" s="269"/>
      <c r="R186" s="215" t="str">
        <f ca="1">IF(ISERROR($V186),"",OFFSET('Smelter Look-up'!$C$4,$V186-4,0)&amp;"")</f>
        <v>Dowa</v>
      </c>
      <c r="S186" s="222" t="str">
        <f t="shared" ca="1" si="24"/>
        <v>JP</v>
      </c>
      <c r="T186" s="222" t="str">
        <f ca="1">IF(B186="","",IF(ISERROR(MATCH($J186,SorP!$B$1:$B$6230,0)),"",INDIRECT("'SorP'!$A$"&amp;MATCH($J186,SorP!$B$1:$B$6230,0))))</f>
        <v>JP-05</v>
      </c>
      <c r="U186" s="238"/>
      <c r="V186" s="270">
        <f ca="1">IF(C186="",NA(),MATCH($B186&amp;$C186,'Smelter Look-up'!$J:$J,0))</f>
        <v>409</v>
      </c>
      <c r="W186" s="271"/>
      <c r="X186" s="271">
        <f t="shared" ca="1" si="25"/>
        <v>0</v>
      </c>
      <c r="Y186" s="271"/>
      <c r="Z186" s="271"/>
      <c r="AB186" s="273" t="str">
        <f t="shared" ca="1" si="26"/>
        <v>TinDowa</v>
      </c>
    </row>
    <row r="187" spans="1:28" s="272" customFormat="1" ht="89.25">
      <c r="A187" s="214" t="s">
        <v>14101</v>
      </c>
      <c r="B187" s="215" t="str">
        <f ca="1">IF(LEN(A187)=0,"",INDEX('Smelter Look-up'!$A:$A,MATCH($A187,'Smelter Look-up'!$E:$E,0)))</f>
        <v>Gold</v>
      </c>
      <c r="C187" s="219" t="str">
        <f ca="1">IF(LEN(A187)=0,"",INDEX('Smelter Look-up'!$C:$C,MATCH($A187,'Smelter Look-up'!$E:$E,0)))</f>
        <v>C.I Metales Procesados Industriales SAS</v>
      </c>
      <c r="D187" s="278"/>
      <c r="E187" s="215" t="str">
        <f ca="1">IF(ISERROR($V187),"",OFFSET('Smelter Look-up'!$D$4,$V187-4,0)&amp;"")</f>
        <v>COLOMBIA</v>
      </c>
      <c r="F187" s="215" t="str">
        <f ca="1">IF(ISERROR($V187),"",OFFSET('Smelter Look-up'!$E$4,$V187-4,0))</f>
        <v>CID003421</v>
      </c>
      <c r="G187" s="215" t="str">
        <f ca="1">IF(C187=$X$4,"Enter smelter details",IF(ISERROR($V187),"",OFFSET('Smelter Look-up'!$F$4,$V187-4,0)))</f>
        <v>RMI</v>
      </c>
      <c r="H187" s="216">
        <f ca="1">IF(ISERROR($V187),"",OFFSET('Smelter Look-up'!$G$4,$V187-4,0))</f>
        <v>0</v>
      </c>
      <c r="I187" s="217" t="str">
        <f ca="1">IF(ISERROR($V187),"",OFFSET('Smelter Look-up'!$H$4,$V187-4,0))</f>
        <v>Cota</v>
      </c>
      <c r="J187" s="217" t="str">
        <f ca="1">IF(ISERROR($V187),"",OFFSET('Smelter Look-up'!$I$4,$V187-4,0))</f>
        <v>Cundinamarca</v>
      </c>
      <c r="K187" s="268"/>
      <c r="L187" s="268"/>
      <c r="M187" s="268"/>
      <c r="N187" s="268"/>
      <c r="O187" s="268"/>
      <c r="P187" s="218"/>
      <c r="Q187" s="269"/>
      <c r="R187" s="215" t="str">
        <f ca="1">IF(ISERROR($V187),"",OFFSET('Smelter Look-up'!$C$4,$V187-4,0)&amp;"")</f>
        <v>C.I Metales Procesados Industriales SAS</v>
      </c>
      <c r="S187" s="222" t="str">
        <f t="shared" ca="1" si="24"/>
        <v>CO</v>
      </c>
      <c r="T187" s="222" t="str">
        <f ca="1">IF(B187="","",IF(ISERROR(MATCH($J187,SorP!$B$1:$B$6230,0)),"",INDIRECT("'SorP'!$A$"&amp;MATCH($J187,SorP!$B$1:$B$6230,0))))</f>
        <v>CO-CUN</v>
      </c>
      <c r="U187" s="238"/>
      <c r="V187" s="270">
        <f ca="1">IF(C187="",NA(),MATCH($B187&amp;$C187,'Smelter Look-up'!$J:$J,0))</f>
        <v>41</v>
      </c>
      <c r="W187" s="271"/>
      <c r="X187" s="271">
        <f t="shared" ca="1" si="25"/>
        <v>0</v>
      </c>
      <c r="Y187" s="271"/>
      <c r="Z187" s="271"/>
      <c r="AB187" s="273" t="str">
        <f t="shared" ca="1" si="26"/>
        <v>GoldC.I Metales Procesados Industriales SAS</v>
      </c>
    </row>
    <row r="188" spans="1:28" s="272" customFormat="1" ht="89.25">
      <c r="A188" s="214" t="s">
        <v>14102</v>
      </c>
      <c r="B188" s="215" t="str">
        <f ca="1">IF(LEN(A188)=0,"",INDEX('Smelter Look-up'!$A:$A,MATCH($A188,'Smelter Look-up'!$E:$E,0)))</f>
        <v>Gold</v>
      </c>
      <c r="C188" s="219" t="str">
        <f ca="1">IF(LEN(A188)=0,"",INDEX('Smelter Look-up'!$C:$C,MATCH($A188,'Smelter Look-up'!$E:$E,0)))</f>
        <v>Eco-System Recycling Co., Ltd. North Plant</v>
      </c>
      <c r="D188" s="278"/>
      <c r="E188" s="215" t="str">
        <f ca="1">IF(ISERROR($V188),"",OFFSET('Smelter Look-up'!$D$4,$V188-4,0)&amp;"")</f>
        <v>JAPAN</v>
      </c>
      <c r="F188" s="215" t="str">
        <f ca="1">IF(ISERROR($V188),"",OFFSET('Smelter Look-up'!$E$4,$V188-4,0))</f>
        <v>CID003424</v>
      </c>
      <c r="G188" s="215" t="str">
        <f ca="1">IF(C188=$X$4,"Enter smelter details",IF(ISERROR($V188),"",OFFSET('Smelter Look-up'!$F$4,$V188-4,0)))</f>
        <v>RMI</v>
      </c>
      <c r="H188" s="216">
        <f ca="1">IF(ISERROR($V188),"",OFFSET('Smelter Look-up'!$G$4,$V188-4,0))</f>
        <v>0</v>
      </c>
      <c r="I188" s="217" t="str">
        <f ca="1">IF(ISERROR($V188),"",OFFSET('Smelter Look-up'!$H$4,$V188-4,0))</f>
        <v>Kazuno</v>
      </c>
      <c r="J188" s="217" t="str">
        <f ca="1">IF(ISERROR($V188),"",OFFSET('Smelter Look-up'!$I$4,$V188-4,0))</f>
        <v>Akita</v>
      </c>
      <c r="K188" s="268"/>
      <c r="L188" s="268"/>
      <c r="M188" s="268"/>
      <c r="N188" s="268"/>
      <c r="O188" s="268"/>
      <c r="P188" s="218"/>
      <c r="Q188" s="269"/>
      <c r="R188" s="215" t="str">
        <f ca="1">IF(ISERROR($V188),"",OFFSET('Smelter Look-up'!$C$4,$V188-4,0)&amp;"")</f>
        <v>Eco-System Recycling Co., Ltd. North Plant</v>
      </c>
      <c r="S188" s="222" t="str">
        <f t="shared" ca="1" si="24"/>
        <v>JP</v>
      </c>
      <c r="T188" s="222" t="str">
        <f ca="1">IF(B188="","",IF(ISERROR(MATCH($J188,SorP!$B$1:$B$6230,0)),"",INDIRECT("'SorP'!$A$"&amp;MATCH($J188,SorP!$B$1:$B$6230,0))))</f>
        <v>JP-05</v>
      </c>
      <c r="U188" s="238"/>
      <c r="V188" s="270">
        <f ca="1">IF(C188="",NA(),MATCH($B188&amp;$C188,'Smelter Look-up'!$J:$J,0))</f>
        <v>71</v>
      </c>
      <c r="W188" s="271"/>
      <c r="X188" s="271">
        <f t="shared" ca="1" si="25"/>
        <v>0</v>
      </c>
      <c r="Y188" s="271"/>
      <c r="Z188" s="271"/>
      <c r="AB188" s="273" t="str">
        <f t="shared" ca="1" si="26"/>
        <v>GoldEco-System Recycling Co., Ltd. North Plant</v>
      </c>
    </row>
    <row r="189" spans="1:28" s="272" customFormat="1" ht="89.25">
      <c r="A189" s="214" t="s">
        <v>14103</v>
      </c>
      <c r="B189" s="215" t="str">
        <f ca="1">IF(LEN(A189)=0,"",INDEX('Smelter Look-up'!$A:$A,MATCH($A189,'Smelter Look-up'!$E:$E,0)))</f>
        <v>Gold</v>
      </c>
      <c r="C189" s="219" t="str">
        <f ca="1">IF(LEN(A189)=0,"",INDEX('Smelter Look-up'!$C:$C,MATCH($A189,'Smelter Look-up'!$E:$E,0)))</f>
        <v>Eco-System Recycling Co., Ltd. West Plant</v>
      </c>
      <c r="D189" s="278"/>
      <c r="E189" s="215" t="str">
        <f ca="1">IF(ISERROR($V189),"",OFFSET('Smelter Look-up'!$D$4,$V189-4,0)&amp;"")</f>
        <v>JAPAN</v>
      </c>
      <c r="F189" s="215" t="str">
        <f ca="1">IF(ISERROR($V189),"",OFFSET('Smelter Look-up'!$E$4,$V189-4,0))</f>
        <v>CID003425</v>
      </c>
      <c r="G189" s="215" t="str">
        <f ca="1">IF(C189=$X$4,"Enter smelter details",IF(ISERROR($V189),"",OFFSET('Smelter Look-up'!$F$4,$V189-4,0)))</f>
        <v>RMI</v>
      </c>
      <c r="H189" s="216">
        <f ca="1">IF(ISERROR($V189),"",OFFSET('Smelter Look-up'!$G$4,$V189-4,0))</f>
        <v>0</v>
      </c>
      <c r="I189" s="217" t="str">
        <f ca="1">IF(ISERROR($V189),"",OFFSET('Smelter Look-up'!$H$4,$V189-4,0))</f>
        <v>Okayama</v>
      </c>
      <c r="J189" s="217" t="str">
        <f ca="1">IF(ISERROR($V189),"",OFFSET('Smelter Look-up'!$I$4,$V189-4,0))</f>
        <v>Okayama</v>
      </c>
      <c r="K189" s="268"/>
      <c r="L189" s="268"/>
      <c r="M189" s="268"/>
      <c r="N189" s="268"/>
      <c r="O189" s="268"/>
      <c r="P189" s="218"/>
      <c r="Q189" s="269"/>
      <c r="R189" s="215" t="str">
        <f ca="1">IF(ISERROR($V189),"",OFFSET('Smelter Look-up'!$C$4,$V189-4,0)&amp;"")</f>
        <v>Eco-System Recycling Co., Ltd. West Plant</v>
      </c>
      <c r="S189" s="222" t="str">
        <f t="shared" ca="1" si="24"/>
        <v>JP</v>
      </c>
      <c r="T189" s="222" t="str">
        <f ca="1">IF(B189="","",IF(ISERROR(MATCH($J189,SorP!$B$1:$B$6230,0)),"",INDIRECT("'SorP'!$A$"&amp;MATCH($J189,SorP!$B$1:$B$6230,0))))</f>
        <v>JP-33</v>
      </c>
      <c r="U189" s="238"/>
      <c r="V189" s="270">
        <f ca="1">IF(C189="",NA(),MATCH($B189&amp;$C189,'Smelter Look-up'!$J:$J,0))</f>
        <v>72</v>
      </c>
      <c r="W189" s="271"/>
      <c r="X189" s="271">
        <f t="shared" ca="1" si="25"/>
        <v>0</v>
      </c>
      <c r="Y189" s="271"/>
      <c r="Z189" s="271"/>
      <c r="AB189" s="273" t="str">
        <f t="shared" ca="1" si="26"/>
        <v>GoldEco-System Recycling Co., Ltd. West Plant</v>
      </c>
    </row>
    <row r="190" spans="1:28" s="272" customFormat="1" ht="51">
      <c r="A190" s="214" t="s">
        <v>662</v>
      </c>
      <c r="B190" s="215" t="str">
        <f ca="1">IF(LEN(A190)=0,"",INDEX('Smelter Look-up'!$A:$A,MATCH($A190,'Smelter Look-up'!$E:$E,0)))</f>
        <v>Gold</v>
      </c>
      <c r="C190" s="219" t="str">
        <f ca="1">IF(LEN(A190)=0,"",INDEX('Smelter Look-up'!$C:$C,MATCH($A190,'Smelter Look-up'!$E:$E,0)))</f>
        <v>C. Hafner GmbH + Co. KG</v>
      </c>
      <c r="D190" s="278"/>
      <c r="E190" s="215" t="str">
        <f ca="1">IF(ISERROR($V190),"",OFFSET('Smelter Look-up'!$D$4,$V190-4,0)&amp;"")</f>
        <v>GERMANY</v>
      </c>
      <c r="F190" s="215" t="str">
        <f ca="1">IF(ISERROR($V190),"",OFFSET('Smelter Look-up'!$E$4,$V190-4,0))</f>
        <v>CID000176</v>
      </c>
      <c r="G190" s="215" t="str">
        <f ca="1">IF(C190=$X$4,"Enter smelter details",IF(ISERROR($V190),"",OFFSET('Smelter Look-up'!$F$4,$V190-4,0)))</f>
        <v>RMI</v>
      </c>
      <c r="H190" s="216">
        <f ca="1">IF(ISERROR($V190),"",OFFSET('Smelter Look-up'!$G$4,$V190-4,0))</f>
        <v>0</v>
      </c>
      <c r="I190" s="217" t="str">
        <f ca="1">IF(ISERROR($V190),"",OFFSET('Smelter Look-up'!$H$4,$V190-4,0))</f>
        <v>Pforzheim</v>
      </c>
      <c r="J190" s="217" t="str">
        <f ca="1">IF(ISERROR($V190),"",OFFSET('Smelter Look-up'!$I$4,$V190-4,0))</f>
        <v>Baden-Württemberg</v>
      </c>
      <c r="K190" s="268"/>
      <c r="L190" s="268"/>
      <c r="M190" s="268"/>
      <c r="N190" s="268"/>
      <c r="O190" s="268"/>
      <c r="P190" s="218"/>
      <c r="Q190" s="269"/>
      <c r="R190" s="215" t="str">
        <f ca="1">IF(ISERROR($V190),"",OFFSET('Smelter Look-up'!$C$4,$V190-4,0)&amp;"")</f>
        <v>C. Hafner GmbH + Co. KG</v>
      </c>
      <c r="S190" s="222" t="str">
        <f t="shared" ca="1" si="24"/>
        <v>DE</v>
      </c>
      <c r="T190" s="222" t="str">
        <f ca="1">IF(B190="","",IF(ISERROR(MATCH($J190,SorP!$B$1:$B$6230,0)),"",INDIRECT("'SorP'!$A$"&amp;MATCH($J190,SorP!$B$1:$B$6230,0))))</f>
        <v>DE-BW</v>
      </c>
      <c r="U190" s="238"/>
      <c r="V190" s="270">
        <f ca="1">IF(C190="",NA(),MATCH($B190&amp;$C190,'Smelter Look-up'!$J:$J,0))</f>
        <v>40</v>
      </c>
      <c r="W190" s="271"/>
      <c r="X190" s="271">
        <f t="shared" ca="1" si="25"/>
        <v>0</v>
      </c>
      <c r="Y190" s="271"/>
      <c r="Z190" s="271"/>
      <c r="AB190" s="273" t="str">
        <f t="shared" ca="1" si="26"/>
        <v>GoldC. Hafner GmbH + Co. KG</v>
      </c>
    </row>
    <row r="191" spans="1:28" s="272" customFormat="1" ht="127.5">
      <c r="A191" s="214" t="s">
        <v>659</v>
      </c>
      <c r="B191" s="215" t="str">
        <f ca="1">IF(LEN(A191)=0,"",INDEX('Smelter Look-up'!$A:$A,MATCH($A191,'Smelter Look-up'!$E:$E,0)))</f>
        <v>Gold</v>
      </c>
      <c r="C191" s="219" t="str">
        <f ca="1">IF(LEN(A191)=0,"",INDEX('Smelter Look-up'!$C:$C,MATCH($A191,'Smelter Look-up'!$E:$E,0)))</f>
        <v>Bangko Sentral ng Pilipinas (Central Bank of the Philippines)</v>
      </c>
      <c r="D191" s="278"/>
      <c r="E191" s="215" t="str">
        <f ca="1">IF(ISERROR($V191),"",OFFSET('Smelter Look-up'!$D$4,$V191-4,0)&amp;"")</f>
        <v>PHILIPPINES</v>
      </c>
      <c r="F191" s="215" t="str">
        <f ca="1">IF(ISERROR($V191),"",OFFSET('Smelter Look-up'!$E$4,$V191-4,0))</f>
        <v>CID000128</v>
      </c>
      <c r="G191" s="215" t="str">
        <f ca="1">IF(C191=$X$4,"Enter smelter details",IF(ISERROR($V191),"",OFFSET('Smelter Look-up'!$F$4,$V191-4,0)))</f>
        <v>RMI</v>
      </c>
      <c r="H191" s="216">
        <f ca="1">IF(ISERROR($V191),"",OFFSET('Smelter Look-up'!$G$4,$V191-4,0))</f>
        <v>0</v>
      </c>
      <c r="I191" s="217" t="str">
        <f ca="1">IF(ISERROR($V191),"",OFFSET('Smelter Look-up'!$H$4,$V191-4,0))</f>
        <v>Quezon City</v>
      </c>
      <c r="J191" s="217" t="str">
        <f ca="1">IF(ISERROR($V191),"",OFFSET('Smelter Look-up'!$I$4,$V191-4,0))</f>
        <v>Rizal</v>
      </c>
      <c r="K191" s="268"/>
      <c r="L191" s="268"/>
      <c r="M191" s="268"/>
      <c r="N191" s="268"/>
      <c r="O191" s="268"/>
      <c r="P191" s="218"/>
      <c r="Q191" s="269"/>
      <c r="R191" s="215" t="str">
        <f ca="1">IF(ISERROR($V191),"",OFFSET('Smelter Look-up'!$C$4,$V191-4,0)&amp;"")</f>
        <v>Bangko Sentral ng Pilipinas (Central Bank of the Philippines)</v>
      </c>
      <c r="S191" s="222" t="str">
        <f t="shared" ca="1" si="24"/>
        <v>PH</v>
      </c>
      <c r="T191" s="222" t="str">
        <f ca="1">IF(B191="","",IF(ISERROR(MATCH($J191,SorP!$B$1:$B$6230,0)),"",INDIRECT("'SorP'!$A$"&amp;MATCH($J191,SorP!$B$1:$B$6230,0))))</f>
        <v>PH-RIZ</v>
      </c>
      <c r="U191" s="238"/>
      <c r="V191" s="270">
        <f ca="1">IF(C191="",NA(),MATCH($B191&amp;$C191,'Smelter Look-up'!$J:$J,0))</f>
        <v>38</v>
      </c>
      <c r="W191" s="271"/>
      <c r="X191" s="271">
        <f t="shared" ca="1" si="25"/>
        <v>0</v>
      </c>
      <c r="Y191" s="271"/>
      <c r="Z191" s="271"/>
      <c r="AB191" s="273" t="str">
        <f t="shared" ca="1" si="26"/>
        <v>GoldBangko Sentral ng Pilipinas (Central Bank of the Philippines)</v>
      </c>
    </row>
    <row r="192" spans="1:28" s="272" customFormat="1" ht="51">
      <c r="A192" s="214" t="s">
        <v>665</v>
      </c>
      <c r="B192" s="215" t="str">
        <f ca="1">IF(LEN(A192)=0,"",INDEX('Smelter Look-up'!$A:$A,MATCH($A192,'Smelter Look-up'!$E:$E,0)))</f>
        <v>Gold</v>
      </c>
      <c r="C192" s="219" t="str">
        <f ca="1">IF(LEN(A192)=0,"",INDEX('Smelter Look-up'!$C:$C,MATCH($A192,'Smelter Look-up'!$E:$E,0)))</f>
        <v>Cendres + Metaux S.A.</v>
      </c>
      <c r="D192" s="278"/>
      <c r="E192" s="215" t="str">
        <f ca="1">IF(ISERROR($V192),"",OFFSET('Smelter Look-up'!$D$4,$V192-4,0)&amp;"")</f>
        <v>SWITZERLAND</v>
      </c>
      <c r="F192" s="215" t="str">
        <f ca="1">IF(ISERROR($V192),"",OFFSET('Smelter Look-up'!$E$4,$V192-4,0))</f>
        <v>CID000189</v>
      </c>
      <c r="G192" s="215" t="str">
        <f ca="1">IF(C192=$X$4,"Enter smelter details",IF(ISERROR($V192),"",OFFSET('Smelter Look-up'!$F$4,$V192-4,0)))</f>
        <v>RMI</v>
      </c>
      <c r="H192" s="216">
        <f ca="1">IF(ISERROR($V192),"",OFFSET('Smelter Look-up'!$G$4,$V192-4,0))</f>
        <v>0</v>
      </c>
      <c r="I192" s="217" t="str">
        <f ca="1">IF(ISERROR($V192),"",OFFSET('Smelter Look-up'!$H$4,$V192-4,0))</f>
        <v>Biel-Bienne</v>
      </c>
      <c r="J192" s="217" t="str">
        <f ca="1">IF(ISERROR($V192),"",OFFSET('Smelter Look-up'!$I$4,$V192-4,0))</f>
        <v>Bern</v>
      </c>
      <c r="K192" s="268"/>
      <c r="L192" s="268"/>
      <c r="M192" s="268"/>
      <c r="N192" s="268"/>
      <c r="O192" s="268"/>
      <c r="P192" s="218"/>
      <c r="Q192" s="269"/>
      <c r="R192" s="215" t="str">
        <f ca="1">IF(ISERROR($V192),"",OFFSET('Smelter Look-up'!$C$4,$V192-4,0)&amp;"")</f>
        <v>Cendres + Metaux S.A.</v>
      </c>
      <c r="S192" s="222" t="str">
        <f t="shared" ca="1" si="24"/>
        <v>CH</v>
      </c>
      <c r="T192" s="222" t="str">
        <f ca="1">IF(B192="","",IF(ISERROR(MATCH($J192,SorP!$B$1:$B$6230,0)),"",INDIRECT("'SorP'!$A$"&amp;MATCH($J192,SorP!$B$1:$B$6230,0))))</f>
        <v>CH-BE</v>
      </c>
      <c r="U192" s="238"/>
      <c r="V192" s="270">
        <f ca="1">IF(C192="",NA(),MATCH($B192&amp;$C192,'Smelter Look-up'!$J:$J,0))</f>
        <v>46</v>
      </c>
      <c r="W192" s="271"/>
      <c r="X192" s="271">
        <f t="shared" ca="1" si="25"/>
        <v>0</v>
      </c>
      <c r="Y192" s="271"/>
      <c r="Z192" s="271"/>
      <c r="AB192" s="273" t="str">
        <f t="shared" ca="1" si="26"/>
        <v>GoldCendres + Metaux S.A.</v>
      </c>
    </row>
    <row r="193" spans="1:28" s="272" customFormat="1" ht="76.5">
      <c r="A193" s="214" t="s">
        <v>744</v>
      </c>
      <c r="B193" s="215" t="str">
        <f ca="1">IF(LEN(A193)=0,"",INDEX('Smelter Look-up'!$A:$A,MATCH($A193,'Smelter Look-up'!$E:$E,0)))</f>
        <v>Gold</v>
      </c>
      <c r="C193" s="219" t="str">
        <f ca="1">IF(LEN(A193)=0,"",INDEX('Smelter Look-up'!$C:$C,MATCH($A193,'Smelter Look-up'!$E:$E,0)))</f>
        <v>Yunnan Copper Industry Co., Ltd.</v>
      </c>
      <c r="D193" s="278"/>
      <c r="E193" s="215" t="str">
        <f ca="1">IF(ISERROR($V193),"",OFFSET('Smelter Look-up'!$D$4,$V193-4,0)&amp;"")</f>
        <v>CHINA</v>
      </c>
      <c r="F193" s="215" t="str">
        <f ca="1">IF(ISERROR($V193),"",OFFSET('Smelter Look-up'!$E$4,$V193-4,0))</f>
        <v>CID000197</v>
      </c>
      <c r="G193" s="215" t="str">
        <f ca="1">IF(C193=$X$4,"Enter smelter details",IF(ISERROR($V193),"",OFFSET('Smelter Look-up'!$F$4,$V193-4,0)))</f>
        <v>RMI</v>
      </c>
      <c r="H193" s="216">
        <f ca="1">IF(ISERROR($V193),"",OFFSET('Smelter Look-up'!$G$4,$V193-4,0))</f>
        <v>0</v>
      </c>
      <c r="I193" s="217" t="str">
        <f ca="1">IF(ISERROR($V193),"",OFFSET('Smelter Look-up'!$H$4,$V193-4,0))</f>
        <v>Kunming</v>
      </c>
      <c r="J193" s="217" t="str">
        <f ca="1">IF(ISERROR($V193),"",OFFSET('Smelter Look-up'!$I$4,$V193-4,0))</f>
        <v>Yunnan Sheng</v>
      </c>
      <c r="K193" s="268"/>
      <c r="L193" s="268"/>
      <c r="M193" s="268"/>
      <c r="N193" s="268"/>
      <c r="O193" s="268"/>
      <c r="P193" s="218"/>
      <c r="Q193" s="269"/>
      <c r="R193" s="215" t="str">
        <f ca="1">IF(ISERROR($V193),"",OFFSET('Smelter Look-up'!$C$4,$V193-4,0)&amp;"")</f>
        <v>Yunnan Copper Industry Co., Ltd.</v>
      </c>
      <c r="S193" s="222" t="str">
        <f t="shared" ca="1" si="24"/>
        <v>CN</v>
      </c>
      <c r="T193" s="222" t="str">
        <f ca="1">IF(B193="","",IF(ISERROR(MATCH($J193,SorP!$B$1:$B$6230,0)),"",INDIRECT("'SorP'!$A$"&amp;MATCH($J193,SorP!$B$1:$B$6230,0))))</f>
        <v>CN-YN</v>
      </c>
      <c r="U193" s="238"/>
      <c r="V193" s="270">
        <f ca="1">IF(C193="",NA(),MATCH($B193&amp;$C193,'Smelter Look-up'!$J:$J,0))</f>
        <v>301</v>
      </c>
      <c r="W193" s="271"/>
      <c r="X193" s="271">
        <f t="shared" ca="1" si="25"/>
        <v>0</v>
      </c>
      <c r="Y193" s="271"/>
      <c r="Z193" s="271"/>
      <c r="AB193" s="273" t="str">
        <f t="shared" ca="1" si="26"/>
        <v>GoldYunnan Copper Industry Co., Ltd.</v>
      </c>
    </row>
    <row r="194" spans="1:28" s="272" customFormat="1" ht="63.75">
      <c r="A194" s="214" t="s">
        <v>670</v>
      </c>
      <c r="B194" s="215" t="str">
        <f ca="1">IF(LEN(A194)=0,"",INDEX('Smelter Look-up'!$A:$A,MATCH($A194,'Smelter Look-up'!$E:$E,0)))</f>
        <v>Gold</v>
      </c>
      <c r="C194" s="219" t="str">
        <f ca="1">IF(LEN(A194)=0,"",INDEX('Smelter Look-up'!$C:$C,MATCH($A194,'Smelter Look-up'!$E:$E,0)))</f>
        <v>DSC (Do Sung Corporation)</v>
      </c>
      <c r="D194" s="278"/>
      <c r="E194" s="215" t="str">
        <f ca="1">IF(ISERROR($V194),"",OFFSET('Smelter Look-up'!$D$4,$V194-4,0)&amp;"")</f>
        <v>KOREA, REPUBLIC OF</v>
      </c>
      <c r="F194" s="215" t="str">
        <f ca="1">IF(ISERROR($V194),"",OFFSET('Smelter Look-up'!$E$4,$V194-4,0))</f>
        <v>CID000359</v>
      </c>
      <c r="G194" s="215" t="str">
        <f ca="1">IF(C194=$X$4,"Enter smelter details",IF(ISERROR($V194),"",OFFSET('Smelter Look-up'!$F$4,$V194-4,0)))</f>
        <v>RMI</v>
      </c>
      <c r="H194" s="216">
        <f ca="1">IF(ISERROR($V194),"",OFFSET('Smelter Look-up'!$G$4,$V194-4,0))</f>
        <v>0</v>
      </c>
      <c r="I194" s="217" t="str">
        <f ca="1">IF(ISERROR($V194),"",OFFSET('Smelter Look-up'!$H$4,$V194-4,0))</f>
        <v>Gimpo</v>
      </c>
      <c r="J194" s="217" t="str">
        <f ca="1">IF(ISERROR($V194),"",OFFSET('Smelter Look-up'!$I$4,$V194-4,0))</f>
        <v>Gyeonggi-do</v>
      </c>
      <c r="K194" s="268"/>
      <c r="L194" s="268"/>
      <c r="M194" s="268"/>
      <c r="N194" s="268"/>
      <c r="O194" s="268"/>
      <c r="P194" s="218"/>
      <c r="Q194" s="269"/>
      <c r="R194" s="215" t="str">
        <f ca="1">IF(ISERROR($V194),"",OFFSET('Smelter Look-up'!$C$4,$V194-4,0)&amp;"")</f>
        <v>DSC (Do Sung Corporation)</v>
      </c>
      <c r="S194" s="222" t="str">
        <f t="shared" ca="1" si="24"/>
        <v>KR</v>
      </c>
      <c r="T194" s="222" t="str">
        <f ca="1">IF(B194="","",IF(ISERROR(MATCH($J194,SorP!$B$1:$B$6230,0)),"",INDIRECT("'SorP'!$A$"&amp;MATCH($J194,SorP!$B$1:$B$6230,0))))</f>
        <v>KR-41</v>
      </c>
      <c r="U194" s="238"/>
      <c r="V194" s="270">
        <f ca="1">IF(C194="",NA(),MATCH($B194&amp;$C194,'Smelter Look-up'!$J:$J,0))</f>
        <v>69</v>
      </c>
      <c r="W194" s="271"/>
      <c r="X194" s="271">
        <f t="shared" ca="1" si="25"/>
        <v>0</v>
      </c>
      <c r="Y194" s="271"/>
      <c r="Z194" s="271"/>
      <c r="AB194" s="273" t="str">
        <f t="shared" ca="1" si="26"/>
        <v>GoldDSC (Do Sung Corporation)</v>
      </c>
    </row>
    <row r="195" spans="1:28" s="272" customFormat="1" ht="89.25">
      <c r="A195" s="214" t="s">
        <v>397</v>
      </c>
      <c r="B195" s="215" t="str">
        <f ca="1">IF(LEN(A195)=0,"",INDEX('Smelter Look-up'!$A:$A,MATCH($A195,'Smelter Look-up'!$E:$E,0)))</f>
        <v>Gold</v>
      </c>
      <c r="C195" s="219" t="str">
        <f ca="1">IF(LEN(A195)=0,"",INDEX('Smelter Look-up'!$C:$C,MATCH($A195,'Smelter Look-up'!$E:$E,0)))</f>
        <v>Eco-System Recycling Co., Ltd. East Plant</v>
      </c>
      <c r="D195" s="278"/>
      <c r="E195" s="215" t="str">
        <f ca="1">IF(ISERROR($V195),"",OFFSET('Smelter Look-up'!$D$4,$V195-4,0)&amp;"")</f>
        <v>JAPAN</v>
      </c>
      <c r="F195" s="215" t="str">
        <f ca="1">IF(ISERROR($V195),"",OFFSET('Smelter Look-up'!$E$4,$V195-4,0))</f>
        <v>CID000425</v>
      </c>
      <c r="G195" s="215" t="str">
        <f ca="1">IF(C195=$X$4,"Enter smelter details",IF(ISERROR($V195),"",OFFSET('Smelter Look-up'!$F$4,$V195-4,0)))</f>
        <v>RMI</v>
      </c>
      <c r="H195" s="216">
        <f ca="1">IF(ISERROR($V195),"",OFFSET('Smelter Look-up'!$G$4,$V195-4,0))</f>
        <v>0</v>
      </c>
      <c r="I195" s="217" t="str">
        <f ca="1">IF(ISERROR($V195),"",OFFSET('Smelter Look-up'!$H$4,$V195-4,0))</f>
        <v>Honjo</v>
      </c>
      <c r="J195" s="217" t="str">
        <f ca="1">IF(ISERROR($V195),"",OFFSET('Smelter Look-up'!$I$4,$V195-4,0))</f>
        <v>Saitama</v>
      </c>
      <c r="K195" s="268"/>
      <c r="L195" s="268"/>
      <c r="M195" s="268"/>
      <c r="N195" s="268"/>
      <c r="O195" s="268"/>
      <c r="P195" s="218"/>
      <c r="Q195" s="269"/>
      <c r="R195" s="215" t="str">
        <f ca="1">IF(ISERROR($V195),"",OFFSET('Smelter Look-up'!$C$4,$V195-4,0)&amp;"")</f>
        <v>Eco-System Recycling Co., Ltd. East Plant</v>
      </c>
      <c r="S195" s="222" t="str">
        <f t="shared" ca="1" si="24"/>
        <v>JP</v>
      </c>
      <c r="T195" s="222" t="str">
        <f ca="1">IF(B195="","",IF(ISERROR(MATCH($J195,SorP!$B$1:$B$6230,0)),"",INDIRECT("'SorP'!$A$"&amp;MATCH($J195,SorP!$B$1:$B$6230,0))))</f>
        <v>JP-11</v>
      </c>
      <c r="U195" s="238"/>
      <c r="V195" s="270">
        <f ca="1">IF(C195="",NA(),MATCH($B195&amp;$C195,'Smelter Look-up'!$J:$J,0))</f>
        <v>70</v>
      </c>
      <c r="W195" s="271"/>
      <c r="X195" s="271">
        <f t="shared" ca="1" si="25"/>
        <v>0</v>
      </c>
      <c r="Y195" s="271"/>
      <c r="Z195" s="271"/>
      <c r="AB195" s="273" t="str">
        <f t="shared" ca="1" si="26"/>
        <v>GoldEco-System Recycling Co., Ltd. East Plant</v>
      </c>
    </row>
    <row r="196" spans="1:28" s="272" customFormat="1" ht="127.5">
      <c r="A196" s="214" t="s">
        <v>1591</v>
      </c>
      <c r="B196" s="215" t="str">
        <f ca="1">IF(LEN(A196)=0,"",INDEX('Smelter Look-up'!$A:$A,MATCH($A196,'Smelter Look-up'!$E:$E,0)))</f>
        <v>Gold</v>
      </c>
      <c r="C196" s="219" t="str">
        <f ca="1">IF(LEN(A196)=0,"",INDEX('Smelter Look-up'!$C:$C,MATCH($A196,'Smelter Look-up'!$E:$E,0)))</f>
        <v>Guoda Safina High-Tech Environmental Refinery Co., Ltd.</v>
      </c>
      <c r="D196" s="278"/>
      <c r="E196" s="215" t="str">
        <f ca="1">IF(ISERROR($V196),"",OFFSET('Smelter Look-up'!$D$4,$V196-4,0)&amp;"")</f>
        <v>CHINA</v>
      </c>
      <c r="F196" s="215" t="str">
        <f ca="1">IF(ISERROR($V196),"",OFFSET('Smelter Look-up'!$E$4,$V196-4,0))</f>
        <v>CID000651</v>
      </c>
      <c r="G196" s="215" t="str">
        <f ca="1">IF(C196=$X$4,"Enter smelter details",IF(ISERROR($V196),"",OFFSET('Smelter Look-up'!$F$4,$V196-4,0)))</f>
        <v>RMI</v>
      </c>
      <c r="H196" s="216">
        <f ca="1">IF(ISERROR($V196),"",OFFSET('Smelter Look-up'!$G$4,$V196-4,0))</f>
        <v>0</v>
      </c>
      <c r="I196" s="217" t="str">
        <f ca="1">IF(ISERROR($V196),"",OFFSET('Smelter Look-up'!$H$4,$V196-4,0))</f>
        <v>Zhaoyuan</v>
      </c>
      <c r="J196" s="217" t="str">
        <f ca="1">IF(ISERROR($V196),"",OFFSET('Smelter Look-up'!$I$4,$V196-4,0))</f>
        <v>Shandong Sheng</v>
      </c>
      <c r="K196" s="268"/>
      <c r="L196" s="268"/>
      <c r="M196" s="268"/>
      <c r="N196" s="268"/>
      <c r="O196" s="268"/>
      <c r="P196" s="218"/>
      <c r="Q196" s="269"/>
      <c r="R196" s="215" t="str">
        <f ca="1">IF(ISERROR($V196),"",OFFSET('Smelter Look-up'!$C$4,$V196-4,0)&amp;"")</f>
        <v>Guoda Safina High-Tech Environmental Refinery Co., Ltd.</v>
      </c>
      <c r="S196" s="222" t="str">
        <f t="shared" ref="S196" ca="1" si="27">IF(B196="","",IF(ISERROR(MATCH($E196,CL,0)),"Unknown",INDIRECT("'C'!$A$"&amp;MATCH($E196,CL,0)+1)))</f>
        <v>CN</v>
      </c>
      <c r="T196" s="222" t="str">
        <f ca="1">IF(B196="","",IF(ISERROR(MATCH($J196,SorP!$B$1:$B$6230,0)),"",INDIRECT("'SorP'!$A$"&amp;MATCH($J196,SorP!$B$1:$B$6230,0))))</f>
        <v>CN-SD</v>
      </c>
      <c r="U196" s="238"/>
      <c r="V196" s="270">
        <f ca="1">IF(C196="",NA(),MATCH($B196&amp;$C196,'Smelter Look-up'!$J:$J,0))</f>
        <v>94</v>
      </c>
      <c r="W196" s="271"/>
      <c r="X196" s="271">
        <f t="shared" ref="X196" ca="1" si="28">IF(AND(C196="Smelter not listed",OR(LEN(D196)=0,LEN(E196)=0)),1,0)</f>
        <v>0</v>
      </c>
      <c r="Y196" s="271"/>
      <c r="Z196" s="271"/>
      <c r="AB196" s="273" t="str">
        <f t="shared" ref="AB196" ca="1" si="29">B196&amp;C196</f>
        <v>GoldGuoda Safina High-Tech Environmental Refinery Co., Ltd.</v>
      </c>
    </row>
    <row r="197" spans="1:28" s="272" customFormat="1" ht="102">
      <c r="A197" s="214" t="s">
        <v>706</v>
      </c>
      <c r="B197" s="215" t="str">
        <f ca="1">IF(LEN(A197)=0,"",INDEX('Smelter Look-up'!$A:$A,MATCH($A197,'Smelter Look-up'!$E:$E,0)))</f>
        <v>Gold</v>
      </c>
      <c r="C197" s="219" t="str">
        <f ca="1">IF(LEN(A197)=0,"",INDEX('Smelter Look-up'!$C:$C,MATCH($A197,'Smelter Look-up'!$E:$E,0)))</f>
        <v>Metalor Technologies (Singapore) Pte., Ltd.</v>
      </c>
      <c r="D197" s="278"/>
      <c r="E197" s="215" t="str">
        <f ca="1">IF(ISERROR($V197),"",OFFSET('Smelter Look-up'!$D$4,$V197-4,0)&amp;"")</f>
        <v>SINGAPORE</v>
      </c>
      <c r="F197" s="215" t="str">
        <f ca="1">IF(ISERROR($V197),"",OFFSET('Smelter Look-up'!$E$4,$V197-4,0))</f>
        <v>CID001152</v>
      </c>
      <c r="G197" s="215" t="str">
        <f ca="1">IF(C197=$X$4,"Enter smelter details",IF(ISERROR($V197),"",OFFSET('Smelter Look-up'!$F$4,$V197-4,0)))</f>
        <v>RMI</v>
      </c>
      <c r="H197" s="216">
        <f ca="1">IF(ISERROR($V197),"",OFFSET('Smelter Look-up'!$G$4,$V197-4,0))</f>
        <v>0</v>
      </c>
      <c r="I197" s="217" t="str">
        <f ca="1">IF(ISERROR($V197),"",OFFSET('Smelter Look-up'!$H$4,$V197-4,0))</f>
        <v>Singapore</v>
      </c>
      <c r="J197" s="217" t="str">
        <f ca="1">IF(ISERROR($V197),"",OFFSET('Smelter Look-up'!$I$4,$V197-4,0))</f>
        <v>South West</v>
      </c>
      <c r="K197" s="268"/>
      <c r="L197" s="268"/>
      <c r="M197" s="268"/>
      <c r="N197" s="268"/>
      <c r="O197" s="268"/>
      <c r="P197" s="218"/>
      <c r="Q197" s="269"/>
      <c r="R197" s="215" t="str">
        <f ca="1">IF(ISERROR($V197),"",OFFSET('Smelter Look-up'!$C$4,$V197-4,0)&amp;"")</f>
        <v>Metalor Technologies (Singapore) Pte., Ltd.</v>
      </c>
      <c r="S197" s="222" t="str">
        <f t="shared" ref="S197:S228" ca="1" si="30">IF(B197="","",IF(ISERROR(MATCH($E197,CL,0)),"Unknown",INDIRECT("'C'!$A$"&amp;MATCH($E197,CL,0)+1)))</f>
        <v>SG</v>
      </c>
      <c r="T197" s="222" t="str">
        <f ca="1">IF(B197="","",IF(ISERROR(MATCH($J197,SorP!$B$1:$B$6230,0)),"",INDIRECT("'SorP'!$A$"&amp;MATCH($J197,SorP!$B$1:$B$6230,0))))</f>
        <v>SG-05</v>
      </c>
      <c r="U197" s="238"/>
      <c r="V197" s="270">
        <f ca="1">IF(C197="",NA(),MATCH($B197&amp;$C197,'Smelter Look-up'!$J:$J,0))</f>
        <v>169</v>
      </c>
      <c r="W197" s="271"/>
      <c r="X197" s="271">
        <f t="shared" ref="X197:X228" ca="1" si="31">IF(AND(C197="Smelter not listed",OR(LEN(D197)=0,LEN(E197)=0)),1,0)</f>
        <v>0</v>
      </c>
      <c r="Y197" s="271"/>
      <c r="Z197" s="271"/>
      <c r="AB197" s="273" t="str">
        <f t="shared" ref="AB197:AB228" ca="1" si="32">B197&amp;C197</f>
        <v>GoldMetalor Technologies (Singapore) Pte., Ltd.</v>
      </c>
    </row>
    <row r="198" spans="1:28" s="272" customFormat="1" ht="63.75">
      <c r="A198" s="214" t="s">
        <v>707</v>
      </c>
      <c r="B198" s="215" t="str">
        <f ca="1">IF(LEN(A198)=0,"",INDEX('Smelter Look-up'!$A:$A,MATCH($A198,'Smelter Look-up'!$E:$E,0)))</f>
        <v>Gold</v>
      </c>
      <c r="C198" s="219" t="str">
        <f ca="1">IF(LEN(A198)=0,"",INDEX('Smelter Look-up'!$C:$C,MATCH($A198,'Smelter Look-up'!$E:$E,0)))</f>
        <v>Metalor Technologies S.A.</v>
      </c>
      <c r="D198" s="278"/>
      <c r="E198" s="215" t="str">
        <f ca="1">IF(ISERROR($V198),"",OFFSET('Smelter Look-up'!$D$4,$V198-4,0)&amp;"")</f>
        <v>SWITZERLAND</v>
      </c>
      <c r="F198" s="215" t="str">
        <f ca="1">IF(ISERROR($V198),"",OFFSET('Smelter Look-up'!$E$4,$V198-4,0))</f>
        <v>CID001153</v>
      </c>
      <c r="G198" s="215" t="str">
        <f ca="1">IF(C198=$X$4,"Enter smelter details",IF(ISERROR($V198),"",OFFSET('Smelter Look-up'!$F$4,$V198-4,0)))</f>
        <v>RMI</v>
      </c>
      <c r="H198" s="216">
        <f ca="1">IF(ISERROR($V198),"",OFFSET('Smelter Look-up'!$G$4,$V198-4,0))</f>
        <v>0</v>
      </c>
      <c r="I198" s="217" t="str">
        <f ca="1">IF(ISERROR($V198),"",OFFSET('Smelter Look-up'!$H$4,$V198-4,0))</f>
        <v>Marin</v>
      </c>
      <c r="J198" s="217" t="str">
        <f ca="1">IF(ISERROR($V198),"",OFFSET('Smelter Look-up'!$I$4,$V198-4,0))</f>
        <v>Neuchâtel</v>
      </c>
      <c r="K198" s="268"/>
      <c r="L198" s="268"/>
      <c r="M198" s="268"/>
      <c r="N198" s="268"/>
      <c r="O198" s="268"/>
      <c r="P198" s="218"/>
      <c r="Q198" s="269"/>
      <c r="R198" s="215" t="str">
        <f ca="1">IF(ISERROR($V198),"",OFFSET('Smelter Look-up'!$C$4,$V198-4,0)&amp;"")</f>
        <v>Metalor Technologies S.A.</v>
      </c>
      <c r="S198" s="222" t="str">
        <f t="shared" ca="1" si="30"/>
        <v>CH</v>
      </c>
      <c r="T198" s="222" t="str">
        <f ca="1">IF(B198="","",IF(ISERROR(MATCH($J198,SorP!$B$1:$B$6230,0)),"",INDIRECT("'SorP'!$A$"&amp;MATCH($J198,SorP!$B$1:$B$6230,0))))</f>
        <v>CH-NE</v>
      </c>
      <c r="U198" s="238"/>
      <c r="V198" s="270">
        <f ca="1">IF(C198="",NA(),MATCH($B198&amp;$C198,'Smelter Look-up'!$J:$J,0))</f>
        <v>171</v>
      </c>
      <c r="W198" s="271"/>
      <c r="X198" s="271">
        <f t="shared" ca="1" si="31"/>
        <v>0</v>
      </c>
      <c r="Y198" s="271"/>
      <c r="Z198" s="271"/>
      <c r="AB198" s="273" t="str">
        <f t="shared" ca="1" si="32"/>
        <v>GoldMetalor Technologies S.A.</v>
      </c>
    </row>
    <row r="199" spans="1:28" s="272" customFormat="1" ht="63.75">
      <c r="A199" s="214" t="s">
        <v>708</v>
      </c>
      <c r="B199" s="215" t="str">
        <f ca="1">IF(LEN(A199)=0,"",INDEX('Smelter Look-up'!$A:$A,MATCH($A199,'Smelter Look-up'!$E:$E,0)))</f>
        <v>Gold</v>
      </c>
      <c r="C199" s="219" t="str">
        <f ca="1">IF(LEN(A199)=0,"",INDEX('Smelter Look-up'!$C:$C,MATCH($A199,'Smelter Look-up'!$E:$E,0)))</f>
        <v>Metalor USA Refining Corporation</v>
      </c>
      <c r="D199" s="278"/>
      <c r="E199" s="215" t="str">
        <f ca="1">IF(ISERROR($V199),"",OFFSET('Smelter Look-up'!$D$4,$V199-4,0)&amp;"")</f>
        <v>UNITED STATES OF AMERICA</v>
      </c>
      <c r="F199" s="215" t="str">
        <f ca="1">IF(ISERROR($V199),"",OFFSET('Smelter Look-up'!$E$4,$V199-4,0))</f>
        <v>CID001157</v>
      </c>
      <c r="G199" s="215" t="str">
        <f ca="1">IF(C199=$X$4,"Enter smelter details",IF(ISERROR($V199),"",OFFSET('Smelter Look-up'!$F$4,$V199-4,0)))</f>
        <v>RMI</v>
      </c>
      <c r="H199" s="216">
        <f ca="1">IF(ISERROR($V199),"",OFFSET('Smelter Look-up'!$G$4,$V199-4,0))</f>
        <v>0</v>
      </c>
      <c r="I199" s="217" t="str">
        <f ca="1">IF(ISERROR($V199),"",OFFSET('Smelter Look-up'!$H$4,$V199-4,0))</f>
        <v>North Attleboro</v>
      </c>
      <c r="J199" s="217" t="str">
        <f ca="1">IF(ISERROR($V199),"",OFFSET('Smelter Look-up'!$I$4,$V199-4,0))</f>
        <v>Massachusetts</v>
      </c>
      <c r="K199" s="268"/>
      <c r="L199" s="268"/>
      <c r="M199" s="268"/>
      <c r="N199" s="268"/>
      <c r="O199" s="268"/>
      <c r="P199" s="218"/>
      <c r="Q199" s="269"/>
      <c r="R199" s="215" t="str">
        <f ca="1">IF(ISERROR($V199),"",OFFSET('Smelter Look-up'!$C$4,$V199-4,0)&amp;"")</f>
        <v>Metalor USA Refining Corporation</v>
      </c>
      <c r="S199" s="222" t="str">
        <f t="shared" ca="1" si="30"/>
        <v>US</v>
      </c>
      <c r="T199" s="222" t="str">
        <f ca="1">IF(B199="","",IF(ISERROR(MATCH($J199,SorP!$B$1:$B$6230,0)),"",INDIRECT("'SorP'!$A$"&amp;MATCH($J199,SorP!$B$1:$B$6230,0))))</f>
        <v>US-MA</v>
      </c>
      <c r="U199" s="238"/>
      <c r="V199" s="270">
        <f ca="1">IF(C199="",NA(),MATCH($B199&amp;$C199,'Smelter Look-up'!$J:$J,0))</f>
        <v>172</v>
      </c>
      <c r="W199" s="271"/>
      <c r="X199" s="271">
        <f t="shared" ca="1" si="31"/>
        <v>0</v>
      </c>
      <c r="Y199" s="271"/>
      <c r="Z199" s="271"/>
      <c r="AB199" s="273" t="str">
        <f t="shared" ca="1" si="32"/>
        <v>GoldMetalor USA Refining Corporation</v>
      </c>
    </row>
    <row r="200" spans="1:28" s="272" customFormat="1" ht="89.25">
      <c r="A200" s="214" t="s">
        <v>709</v>
      </c>
      <c r="B200" s="215" t="str">
        <f ca="1">IF(LEN(A200)=0,"",INDEX('Smelter Look-up'!$A:$A,MATCH($A200,'Smelter Look-up'!$E:$E,0)))</f>
        <v>Gold</v>
      </c>
      <c r="C200" s="219" t="str">
        <f ca="1">IF(LEN(A200)=0,"",INDEX('Smelter Look-up'!$C:$C,MATCH($A200,'Smelter Look-up'!$E:$E,0)))</f>
        <v>Metalurgica Met-Mex Penoles S.A. De C.V.</v>
      </c>
      <c r="D200" s="278"/>
      <c r="E200" s="215" t="str">
        <f ca="1">IF(ISERROR($V200),"",OFFSET('Smelter Look-up'!$D$4,$V200-4,0)&amp;"")</f>
        <v>MEXICO</v>
      </c>
      <c r="F200" s="215" t="str">
        <f ca="1">IF(ISERROR($V200),"",OFFSET('Smelter Look-up'!$E$4,$V200-4,0))</f>
        <v>CID001161</v>
      </c>
      <c r="G200" s="215" t="str">
        <f ca="1">IF(C200=$X$4,"Enter smelter details",IF(ISERROR($V200),"",OFFSET('Smelter Look-up'!$F$4,$V200-4,0)))</f>
        <v>RMI</v>
      </c>
      <c r="H200" s="216">
        <f ca="1">IF(ISERROR($V200),"",OFFSET('Smelter Look-up'!$G$4,$V200-4,0))</f>
        <v>0</v>
      </c>
      <c r="I200" s="217" t="str">
        <f ca="1">IF(ISERROR($V200),"",OFFSET('Smelter Look-up'!$H$4,$V200-4,0))</f>
        <v>Torreon</v>
      </c>
      <c r="J200" s="217" t="str">
        <f ca="1">IF(ISERROR($V200),"",OFFSET('Smelter Look-up'!$I$4,$V200-4,0))</f>
        <v>Coahuila de Zaragoza</v>
      </c>
      <c r="K200" s="268"/>
      <c r="L200" s="268"/>
      <c r="M200" s="268"/>
      <c r="N200" s="268"/>
      <c r="O200" s="268"/>
      <c r="P200" s="218"/>
      <c r="Q200" s="269"/>
      <c r="R200" s="215" t="str">
        <f ca="1">IF(ISERROR($V200),"",OFFSET('Smelter Look-up'!$C$4,$V200-4,0)&amp;"")</f>
        <v>Metalurgica Met-Mex Penoles S.A. De C.V.</v>
      </c>
      <c r="S200" s="222" t="str">
        <f t="shared" ca="1" si="30"/>
        <v>MX</v>
      </c>
      <c r="T200" s="222" t="str">
        <f ca="1">IF(B200="","",IF(ISERROR(MATCH($J200,SorP!$B$1:$B$6230,0)),"",INDIRECT("'SorP'!$A$"&amp;MATCH($J200,SorP!$B$1:$B$6230,0))))</f>
        <v>MX-COA</v>
      </c>
      <c r="U200" s="238"/>
      <c r="V200" s="270">
        <f ca="1">IF(C200="",NA(),MATCH($B200&amp;$C200,'Smelter Look-up'!$J:$J,0))</f>
        <v>173</v>
      </c>
      <c r="W200" s="271"/>
      <c r="X200" s="271">
        <f t="shared" ca="1" si="31"/>
        <v>0</v>
      </c>
      <c r="Y200" s="271"/>
      <c r="Z200" s="271"/>
      <c r="AB200" s="273" t="str">
        <f t="shared" ca="1" si="32"/>
        <v>GoldMetalurgica Met-Mex Penoles S.A. De C.V.</v>
      </c>
    </row>
    <row r="201" spans="1:28" s="272" customFormat="1" ht="89.25">
      <c r="A201" s="214" t="s">
        <v>395</v>
      </c>
      <c r="B201" s="215" t="str">
        <f ca="1">IF(LEN(A201)=0,"",INDEX('Smelter Look-up'!$A:$A,MATCH($A201,'Smelter Look-up'!$E:$E,0)))</f>
        <v>Gold</v>
      </c>
      <c r="C201" s="219" t="str">
        <f ca="1">IF(LEN(A201)=0,"",INDEX('Smelter Look-up'!$C:$C,MATCH($A201,'Smelter Look-up'!$E:$E,0)))</f>
        <v>Hangzhou Fuchunjiang Smelting Co., Ltd.</v>
      </c>
      <c r="D201" s="278"/>
      <c r="E201" s="215" t="str">
        <f ca="1">IF(ISERROR($V201),"",OFFSET('Smelter Look-up'!$D$4,$V201-4,0)&amp;"")</f>
        <v>CHINA</v>
      </c>
      <c r="F201" s="215" t="str">
        <f ca="1">IF(ISERROR($V201),"",OFFSET('Smelter Look-up'!$E$4,$V201-4,0))</f>
        <v>CID000671</v>
      </c>
      <c r="G201" s="215" t="str">
        <f ca="1">IF(C201=$X$4,"Enter smelter details",IF(ISERROR($V201),"",OFFSET('Smelter Look-up'!$F$4,$V201-4,0)))</f>
        <v>RMI</v>
      </c>
      <c r="H201" s="216">
        <f ca="1">IF(ISERROR($V201),"",OFFSET('Smelter Look-up'!$G$4,$V201-4,0))</f>
        <v>0</v>
      </c>
      <c r="I201" s="217" t="str">
        <f ca="1">IF(ISERROR($V201),"",OFFSET('Smelter Look-up'!$H$4,$V201-4,0))</f>
        <v>Fuyang</v>
      </c>
      <c r="J201" s="217" t="str">
        <f ca="1">IF(ISERROR($V201),"",OFFSET('Smelter Look-up'!$I$4,$V201-4,0))</f>
        <v>Zhejiang Sheng</v>
      </c>
      <c r="K201" s="268"/>
      <c r="L201" s="268"/>
      <c r="M201" s="268"/>
      <c r="N201" s="268"/>
      <c r="O201" s="268"/>
      <c r="P201" s="218"/>
      <c r="Q201" s="269"/>
      <c r="R201" s="215" t="str">
        <f ca="1">IF(ISERROR($V201),"",OFFSET('Smelter Look-up'!$C$4,$V201-4,0)&amp;"")</f>
        <v>Hangzhou Fuchunjiang Smelting Co., Ltd.</v>
      </c>
      <c r="S201" s="222" t="str">
        <f t="shared" ca="1" si="30"/>
        <v>CN</v>
      </c>
      <c r="T201" s="222" t="str">
        <f ca="1">IF(B201="","",IF(ISERROR(MATCH($J201,SorP!$B$1:$B$6230,0)),"",INDIRECT("'SorP'!$A$"&amp;MATCH($J201,SorP!$B$1:$B$6230,0))))</f>
        <v>CN-ZJ</v>
      </c>
      <c r="U201" s="238"/>
      <c r="V201" s="270">
        <f ca="1">IF(C201="",NA(),MATCH($B201&amp;$C201,'Smelter Look-up'!$J:$J,0))</f>
        <v>95</v>
      </c>
      <c r="W201" s="271"/>
      <c r="X201" s="271">
        <f t="shared" ca="1" si="31"/>
        <v>0</v>
      </c>
      <c r="Y201" s="271"/>
      <c r="Z201" s="271"/>
      <c r="AB201" s="273" t="str">
        <f t="shared" ca="1" si="32"/>
        <v>GoldHangzhou Fuchunjiang Smelting Co., Ltd.</v>
      </c>
    </row>
    <row r="202" spans="1:28" s="272" customFormat="1" ht="89.25">
      <c r="A202" s="214" t="s">
        <v>1392</v>
      </c>
      <c r="B202" s="215" t="str">
        <f ca="1">IF(LEN(A202)=0,"",INDEX('Smelter Look-up'!$A:$A,MATCH($A202,'Smelter Look-up'!$E:$E,0)))</f>
        <v>Gold</v>
      </c>
      <c r="C202" s="219" t="str">
        <f ca="1">IF(LEN(A202)=0,"",INDEX('Smelter Look-up'!$C:$C,MATCH($A202,'Smelter Look-up'!$E:$E,0)))</f>
        <v>Sichuan Tianze Precious Metals Co., Ltd.</v>
      </c>
      <c r="D202" s="278"/>
      <c r="E202" s="215" t="str">
        <f ca="1">IF(ISERROR($V202),"",OFFSET('Smelter Look-up'!$D$4,$V202-4,0)&amp;"")</f>
        <v>CHINA</v>
      </c>
      <c r="F202" s="215" t="str">
        <f ca="1">IF(ISERROR($V202),"",OFFSET('Smelter Look-up'!$E$4,$V202-4,0))</f>
        <v>CID001736</v>
      </c>
      <c r="G202" s="215" t="str">
        <f ca="1">IF(C202=$X$4,"Enter smelter details",IF(ISERROR($V202),"",OFFSET('Smelter Look-up'!$F$4,$V202-4,0)))</f>
        <v>RMI</v>
      </c>
      <c r="H202" s="216">
        <f ca="1">IF(ISERROR($V202),"",OFFSET('Smelter Look-up'!$G$4,$V202-4,0))</f>
        <v>0</v>
      </c>
      <c r="I202" s="217" t="str">
        <f ca="1">IF(ISERROR($V202),"",OFFSET('Smelter Look-up'!$H$4,$V202-4,0))</f>
        <v>Chengdu</v>
      </c>
      <c r="J202" s="217" t="str">
        <f ca="1">IF(ISERROR($V202),"",OFFSET('Smelter Look-up'!$I$4,$V202-4,0))</f>
        <v>Sichuan Sheng</v>
      </c>
      <c r="K202" s="268"/>
      <c r="L202" s="268"/>
      <c r="M202" s="268"/>
      <c r="N202" s="268"/>
      <c r="O202" s="268"/>
      <c r="P202" s="218"/>
      <c r="Q202" s="269"/>
      <c r="R202" s="215" t="str">
        <f ca="1">IF(ISERROR($V202),"",OFFSET('Smelter Look-up'!$C$4,$V202-4,0)&amp;"")</f>
        <v>Sichuan Tianze Precious Metals Co., Ltd.</v>
      </c>
      <c r="S202" s="222" t="str">
        <f t="shared" ca="1" si="30"/>
        <v>CN</v>
      </c>
      <c r="T202" s="222" t="str">
        <f ca="1">IF(B202="","",IF(ISERROR(MATCH($J202,SorP!$B$1:$B$6230,0)),"",INDIRECT("'SorP'!$A$"&amp;MATCH($J202,SorP!$B$1:$B$6230,0))))</f>
        <v>CN-SC</v>
      </c>
      <c r="U202" s="238"/>
      <c r="V202" s="270">
        <f ca="1">IF(C202="",NA(),MATCH($B202&amp;$C202,'Smelter Look-up'!$J:$J,0))</f>
        <v>247</v>
      </c>
      <c r="W202" s="271"/>
      <c r="X202" s="271">
        <f t="shared" ca="1" si="31"/>
        <v>0</v>
      </c>
      <c r="Y202" s="271"/>
      <c r="Z202" s="271"/>
      <c r="AB202" s="273" t="str">
        <f t="shared" ca="1" si="32"/>
        <v>GoldSichuan Tianze Precious Metals Co., Ltd.</v>
      </c>
    </row>
    <row r="203" spans="1:28" s="272" customFormat="1" ht="38.25">
      <c r="A203" s="214" t="s">
        <v>2530</v>
      </c>
      <c r="B203" s="215" t="str">
        <f ca="1">IF(LEN(A203)=0,"",INDEX('Smelter Look-up'!$A:$A,MATCH($A203,'Smelter Look-up'!$E:$E,0)))</f>
        <v>Gold</v>
      </c>
      <c r="C203" s="219" t="str">
        <f ca="1">IF(LEN(A203)=0,"",INDEX('Smelter Look-up'!$C:$C,MATCH($A203,'Smelter Look-up'!$E:$E,0)))</f>
        <v>LT Metal Ltd.</v>
      </c>
      <c r="D203" s="278"/>
      <c r="E203" s="215" t="str">
        <f ca="1">IF(ISERROR($V203),"",OFFSET('Smelter Look-up'!$D$4,$V203-4,0)&amp;"")</f>
        <v>KOREA, REPUBLIC OF</v>
      </c>
      <c r="F203" s="215" t="str">
        <f ca="1">IF(ISERROR($V203),"",OFFSET('Smelter Look-up'!$E$4,$V203-4,0))</f>
        <v>CID000689</v>
      </c>
      <c r="G203" s="215" t="str">
        <f ca="1">IF(C203=$X$4,"Enter smelter details",IF(ISERROR($V203),"",OFFSET('Smelter Look-up'!$F$4,$V203-4,0)))</f>
        <v>RMI</v>
      </c>
      <c r="H203" s="216">
        <f ca="1">IF(ISERROR($V203),"",OFFSET('Smelter Look-up'!$G$4,$V203-4,0))</f>
        <v>0</v>
      </c>
      <c r="I203" s="217" t="str">
        <f ca="1">IF(ISERROR($V203),"",OFFSET('Smelter Look-up'!$H$4,$V203-4,0))</f>
        <v>Seo-gu</v>
      </c>
      <c r="J203" s="217" t="str">
        <f ca="1">IF(ISERROR($V203),"",OFFSET('Smelter Look-up'!$I$4,$V203-4,0))</f>
        <v>Incheon-gwangyeoksi</v>
      </c>
      <c r="K203" s="268"/>
      <c r="L203" s="268"/>
      <c r="M203" s="268"/>
      <c r="N203" s="268"/>
      <c r="O203" s="268"/>
      <c r="P203" s="218"/>
      <c r="Q203" s="269"/>
      <c r="R203" s="215" t="str">
        <f ca="1">IF(ISERROR($V203),"",OFFSET('Smelter Look-up'!$C$4,$V203-4,0)&amp;"")</f>
        <v>LT Metal Ltd.</v>
      </c>
      <c r="S203" s="222" t="str">
        <f t="shared" ca="1" si="30"/>
        <v>KR</v>
      </c>
      <c r="T203" s="222" t="str">
        <f ca="1">IF(B203="","",IF(ISERROR(MATCH($J203,SorP!$B$1:$B$6230,0)),"",INDIRECT("'SorP'!$A$"&amp;MATCH($J203,SorP!$B$1:$B$6230,0))))</f>
        <v>KR-28</v>
      </c>
      <c r="U203" s="238"/>
      <c r="V203" s="270">
        <f ca="1">IF(C203="",NA(),MATCH($B203&amp;$C203,'Smelter Look-up'!$J:$J,0))</f>
        <v>154</v>
      </c>
      <c r="W203" s="271"/>
      <c r="X203" s="271">
        <f t="shared" ca="1" si="31"/>
        <v>0</v>
      </c>
      <c r="Y203" s="271"/>
      <c r="Z203" s="271"/>
      <c r="AB203" s="273" t="str">
        <f t="shared" ca="1" si="32"/>
        <v>GoldLT Metal Ltd.</v>
      </c>
    </row>
    <row r="204" spans="1:28" s="272" customFormat="1" ht="76.5">
      <c r="A204" s="214" t="s">
        <v>710</v>
      </c>
      <c r="B204" s="215" t="str">
        <f ca="1">IF(LEN(A204)=0,"",INDEX('Smelter Look-up'!$A:$A,MATCH($A204,'Smelter Look-up'!$E:$E,0)))</f>
        <v>Gold</v>
      </c>
      <c r="C204" s="219" t="str">
        <f ca="1">IF(LEN(A204)=0,"",INDEX('Smelter Look-up'!$C:$C,MATCH($A204,'Smelter Look-up'!$E:$E,0)))</f>
        <v>Mitsubishi Materials Corporation</v>
      </c>
      <c r="D204" s="278"/>
      <c r="E204" s="215" t="str">
        <f ca="1">IF(ISERROR($V204),"",OFFSET('Smelter Look-up'!$D$4,$V204-4,0)&amp;"")</f>
        <v>JAPAN</v>
      </c>
      <c r="F204" s="215" t="str">
        <f ca="1">IF(ISERROR($V204),"",OFFSET('Smelter Look-up'!$E$4,$V204-4,0))</f>
        <v>CID001188</v>
      </c>
      <c r="G204" s="215" t="str">
        <f ca="1">IF(C204=$X$4,"Enter smelter details",IF(ISERROR($V204),"",OFFSET('Smelter Look-up'!$F$4,$V204-4,0)))</f>
        <v>RMI</v>
      </c>
      <c r="H204" s="216">
        <f ca="1">IF(ISERROR($V204),"",OFFSET('Smelter Look-up'!$G$4,$V204-4,0))</f>
        <v>0</v>
      </c>
      <c r="I204" s="217" t="str">
        <f ca="1">IF(ISERROR($V204),"",OFFSET('Smelter Look-up'!$H$4,$V204-4,0))</f>
        <v>Tokyo</v>
      </c>
      <c r="J204" s="217" t="str">
        <f ca="1">IF(ISERROR($V204),"",OFFSET('Smelter Look-up'!$I$4,$V204-4,0))</f>
        <v>Tokyo</v>
      </c>
      <c r="K204" s="268"/>
      <c r="L204" s="268"/>
      <c r="M204" s="268"/>
      <c r="N204" s="268"/>
      <c r="O204" s="268"/>
      <c r="P204" s="218"/>
      <c r="Q204" s="269"/>
      <c r="R204" s="215" t="str">
        <f ca="1">IF(ISERROR($V204),"",OFFSET('Smelter Look-up'!$C$4,$V204-4,0)&amp;"")</f>
        <v>Mitsubishi Materials Corporation</v>
      </c>
      <c r="S204" s="222" t="str">
        <f t="shared" ca="1" si="30"/>
        <v>JP</v>
      </c>
      <c r="T204" s="222" t="str">
        <f ca="1">IF(B204="","",IF(ISERROR(MATCH($J204,SorP!$B$1:$B$6230,0)),"",INDIRECT("'SorP'!$A$"&amp;MATCH($J204,SorP!$B$1:$B$6230,0))))</f>
        <v>JP-13</v>
      </c>
      <c r="U204" s="238"/>
      <c r="V204" s="270">
        <f ca="1">IF(C204="",NA(),MATCH($B204&amp;$C204,'Smelter Look-up'!$J:$J,0))</f>
        <v>177</v>
      </c>
      <c r="W204" s="271"/>
      <c r="X204" s="271">
        <f t="shared" ca="1" si="31"/>
        <v>0</v>
      </c>
      <c r="Y204" s="271"/>
      <c r="Z204" s="271"/>
      <c r="AB204" s="273" t="str">
        <f t="shared" ca="1" si="32"/>
        <v>GoldMitsubishi Materials Corporation</v>
      </c>
    </row>
    <row r="205" spans="1:28" s="272" customFormat="1" ht="76.5">
      <c r="A205" s="214" t="s">
        <v>777</v>
      </c>
      <c r="B205" s="215" t="str">
        <f ca="1">IF(LEN(A205)=0,"",INDEX('Smelter Look-up'!$A:$A,MATCH($A205,'Smelter Look-up'!$E:$E,0)))</f>
        <v>Tin</v>
      </c>
      <c r="C205" s="219" t="str">
        <f ca="1">IF(LEN(A205)=0,"",INDEX('Smelter Look-up'!$C:$C,MATCH($A205,'Smelter Look-up'!$E:$E,0)))</f>
        <v>Mitsubishi Materials Corporation</v>
      </c>
      <c r="D205" s="278"/>
      <c r="E205" s="215" t="str">
        <f ca="1">IF(ISERROR($V205),"",OFFSET('Smelter Look-up'!$D$4,$V205-4,0)&amp;"")</f>
        <v>JAPAN</v>
      </c>
      <c r="F205" s="215" t="str">
        <f ca="1">IF(ISERROR($V205),"",OFFSET('Smelter Look-up'!$E$4,$V205-4,0))</f>
        <v>CID001191</v>
      </c>
      <c r="G205" s="215" t="str">
        <f ca="1">IF(C205=$X$4,"Enter smelter details",IF(ISERROR($V205),"",OFFSET('Smelter Look-up'!$F$4,$V205-4,0)))</f>
        <v>RMI</v>
      </c>
      <c r="H205" s="216">
        <f ca="1">IF(ISERROR($V205),"",OFFSET('Smelter Look-up'!$G$4,$V205-4,0))</f>
        <v>0</v>
      </c>
      <c r="I205" s="217" t="str">
        <f ca="1">IF(ISERROR($V205),"",OFFSET('Smelter Look-up'!$H$4,$V205-4,0))</f>
        <v>Tokyo</v>
      </c>
      <c r="J205" s="217" t="str">
        <f ca="1">IF(ISERROR($V205),"",OFFSET('Smelter Look-up'!$I$4,$V205-4,0))</f>
        <v>Tokyo</v>
      </c>
      <c r="K205" s="268"/>
      <c r="L205" s="268"/>
      <c r="M205" s="268"/>
      <c r="N205" s="268"/>
      <c r="O205" s="268"/>
      <c r="P205" s="218"/>
      <c r="Q205" s="269"/>
      <c r="R205" s="215" t="str">
        <f ca="1">IF(ISERROR($V205),"",OFFSET('Smelter Look-up'!$C$4,$V205-4,0)&amp;"")</f>
        <v>Mitsubishi Materials Corporation</v>
      </c>
      <c r="S205" s="222" t="str">
        <f t="shared" ca="1" si="30"/>
        <v>JP</v>
      </c>
      <c r="T205" s="222" t="str">
        <f ca="1">IF(B205="","",IF(ISERROR(MATCH($J205,SorP!$B$1:$B$6230,0)),"",INDIRECT("'SorP'!$A$"&amp;MATCH($J205,SorP!$B$1:$B$6230,0))))</f>
        <v>JP-13</v>
      </c>
      <c r="U205" s="238"/>
      <c r="V205" s="270">
        <f ca="1">IF(C205="",NA(),MATCH($B205&amp;$C205,'Smelter Look-up'!$J:$J,0))</f>
        <v>461</v>
      </c>
      <c r="W205" s="271"/>
      <c r="X205" s="271">
        <f t="shared" ca="1" si="31"/>
        <v>0</v>
      </c>
      <c r="Y205" s="271"/>
      <c r="Z205" s="271"/>
      <c r="AB205" s="273" t="str">
        <f t="shared" ca="1" si="32"/>
        <v>TinMitsubishi Materials Corporation</v>
      </c>
    </row>
    <row r="206" spans="1:28" s="272" customFormat="1" ht="89.25">
      <c r="A206" s="214" t="s">
        <v>711</v>
      </c>
      <c r="B206" s="215" t="str">
        <f ca="1">IF(LEN(A206)=0,"",INDEX('Smelter Look-up'!$A:$A,MATCH($A206,'Smelter Look-up'!$E:$E,0)))</f>
        <v>Gold</v>
      </c>
      <c r="C206" s="219" t="str">
        <f ca="1">IF(LEN(A206)=0,"",INDEX('Smelter Look-up'!$C:$C,MATCH($A206,'Smelter Look-up'!$E:$E,0)))</f>
        <v>Mitsui Mining and Smelting Co., Ltd.</v>
      </c>
      <c r="D206" s="278"/>
      <c r="E206" s="215" t="str">
        <f ca="1">IF(ISERROR($V206),"",OFFSET('Smelter Look-up'!$D$4,$V206-4,0)&amp;"")</f>
        <v>JAPAN</v>
      </c>
      <c r="F206" s="215" t="str">
        <f ca="1">IF(ISERROR($V206),"",OFFSET('Smelter Look-up'!$E$4,$V206-4,0))</f>
        <v>CID001193</v>
      </c>
      <c r="G206" s="215" t="str">
        <f ca="1">IF(C206=$X$4,"Enter smelter details",IF(ISERROR($V206),"",OFFSET('Smelter Look-up'!$F$4,$V206-4,0)))</f>
        <v>RMI</v>
      </c>
      <c r="H206" s="216">
        <f ca="1">IF(ISERROR($V206),"",OFFSET('Smelter Look-up'!$G$4,$V206-4,0))</f>
        <v>0</v>
      </c>
      <c r="I206" s="217" t="str">
        <f ca="1">IF(ISERROR($V206),"",OFFSET('Smelter Look-up'!$H$4,$V206-4,0))</f>
        <v>Takehara</v>
      </c>
      <c r="J206" s="217" t="str">
        <f ca="1">IF(ISERROR($V206),"",OFFSET('Smelter Look-up'!$I$4,$V206-4,0))</f>
        <v>Hiroshima</v>
      </c>
      <c r="K206" s="268"/>
      <c r="L206" s="268"/>
      <c r="M206" s="268"/>
      <c r="N206" s="268"/>
      <c r="O206" s="268"/>
      <c r="P206" s="218"/>
      <c r="Q206" s="269"/>
      <c r="R206" s="215" t="str">
        <f ca="1">IF(ISERROR($V206),"",OFFSET('Smelter Look-up'!$C$4,$V206-4,0)&amp;"")</f>
        <v>Mitsui Mining and Smelting Co., Ltd.</v>
      </c>
      <c r="S206" s="222" t="str">
        <f t="shared" ca="1" si="30"/>
        <v>JP</v>
      </c>
      <c r="T206" s="222" t="str">
        <f ca="1">IF(B206="","",IF(ISERROR(MATCH($J206,SorP!$B$1:$B$6230,0)),"",INDIRECT("'SorP'!$A$"&amp;MATCH($J206,SorP!$B$1:$B$6230,0))))</f>
        <v>JP-34</v>
      </c>
      <c r="U206" s="238"/>
      <c r="V206" s="270">
        <f ca="1">IF(C206="",NA(),MATCH($B206&amp;$C206,'Smelter Look-up'!$J:$J,0))</f>
        <v>179</v>
      </c>
      <c r="W206" s="271"/>
      <c r="X206" s="271">
        <f t="shared" ca="1" si="31"/>
        <v>0</v>
      </c>
      <c r="Y206" s="271"/>
      <c r="Z206" s="271"/>
      <c r="AB206" s="273" t="str">
        <f t="shared" ca="1" si="32"/>
        <v>GoldMitsui Mining and Smelting Co., Ltd.</v>
      </c>
    </row>
    <row r="207" spans="1:28" s="272" customFormat="1" ht="38.25">
      <c r="A207" s="214" t="s">
        <v>740</v>
      </c>
      <c r="B207" s="215" t="str">
        <f ca="1">IF(LEN(A207)=0,"",INDEX('Smelter Look-up'!$A:$A,MATCH($A207,'Smelter Look-up'!$E:$E,0)))</f>
        <v>Gold</v>
      </c>
      <c r="C207" s="219" t="str">
        <f ca="1">IF(LEN(A207)=0,"",INDEX('Smelter Look-up'!$C:$C,MATCH($A207,'Smelter Look-up'!$E:$E,0)))</f>
        <v>Valcambi S.A.</v>
      </c>
      <c r="D207" s="278"/>
      <c r="E207" s="215" t="str">
        <f ca="1">IF(ISERROR($V207),"",OFFSET('Smelter Look-up'!$D$4,$V207-4,0)&amp;"")</f>
        <v>SWITZERLAND</v>
      </c>
      <c r="F207" s="215" t="str">
        <f ca="1">IF(ISERROR($V207),"",OFFSET('Smelter Look-up'!$E$4,$V207-4,0))</f>
        <v>CID002003</v>
      </c>
      <c r="G207" s="215" t="str">
        <f ca="1">IF(C207=$X$4,"Enter smelter details",IF(ISERROR($V207),"",OFFSET('Smelter Look-up'!$F$4,$V207-4,0)))</f>
        <v>RMI</v>
      </c>
      <c r="H207" s="216">
        <f ca="1">IF(ISERROR($V207),"",OFFSET('Smelter Look-up'!$G$4,$V207-4,0))</f>
        <v>0</v>
      </c>
      <c r="I207" s="217" t="str">
        <f ca="1">IF(ISERROR($V207),"",OFFSET('Smelter Look-up'!$H$4,$V207-4,0))</f>
        <v>Balerna</v>
      </c>
      <c r="J207" s="217" t="str">
        <f ca="1">IF(ISERROR($V207),"",OFFSET('Smelter Look-up'!$I$4,$V207-4,0))</f>
        <v>Ticino</v>
      </c>
      <c r="K207" s="268"/>
      <c r="L207" s="268"/>
      <c r="M207" s="268"/>
      <c r="N207" s="268"/>
      <c r="O207" s="268"/>
      <c r="P207" s="218"/>
      <c r="Q207" s="269"/>
      <c r="R207" s="215" t="str">
        <f ca="1">IF(ISERROR($V207),"",OFFSET('Smelter Look-up'!$C$4,$V207-4,0)&amp;"")</f>
        <v>Valcambi S.A.</v>
      </c>
      <c r="S207" s="222" t="str">
        <f t="shared" ca="1" si="30"/>
        <v>CH</v>
      </c>
      <c r="T207" s="222" t="str">
        <f ca="1">IF(B207="","",IF(ISERROR(MATCH($J207,SorP!$B$1:$B$6230,0)),"",INDIRECT("'SorP'!$A$"&amp;MATCH($J207,SorP!$B$1:$B$6230,0))))</f>
        <v>CH-TI</v>
      </c>
      <c r="U207" s="238"/>
      <c r="V207" s="270">
        <f ca="1">IF(C207="",NA(),MATCH($B207&amp;$C207,'Smelter Look-up'!$J:$J,0))</f>
        <v>288</v>
      </c>
      <c r="W207" s="271"/>
      <c r="X207" s="271">
        <f t="shared" ca="1" si="31"/>
        <v>0</v>
      </c>
      <c r="Y207" s="271"/>
      <c r="Z207" s="271"/>
      <c r="AB207" s="273" t="str">
        <f t="shared" ca="1" si="32"/>
        <v>GoldValcambi S.A.</v>
      </c>
    </row>
    <row r="208" spans="1:28" s="272" customFormat="1" ht="191.25">
      <c r="A208" s="214" t="s">
        <v>1821</v>
      </c>
      <c r="B208" s="215" t="str">
        <f ca="1">IF(LEN(A208)=0,"",INDEX('Smelter Look-up'!$A:$A,MATCH($A208,'Smelter Look-up'!$E:$E,0)))</f>
        <v>Tin</v>
      </c>
      <c r="C208" s="219" t="str">
        <f ca="1">IF(LEN(A208)=0,"",INDEX('Smelter Look-up'!$C:$C,MATCH($A208,'Smelter Look-up'!$E:$E,0)))</f>
        <v>Electro-Mechanical Facility of the Cao Bang Minerals &amp; Metallurgy Joint Stock Company</v>
      </c>
      <c r="D208" s="278"/>
      <c r="E208" s="215" t="str">
        <f ca="1">IF(ISERROR($V208),"",OFFSET('Smelter Look-up'!$D$4,$V208-4,0)&amp;"")</f>
        <v>VIET NAM</v>
      </c>
      <c r="F208" s="215" t="str">
        <f ca="1">IF(ISERROR($V208),"",OFFSET('Smelter Look-up'!$E$4,$V208-4,0))</f>
        <v>CID002572</v>
      </c>
      <c r="G208" s="215" t="str">
        <f ca="1">IF(C208=$X$4,"Enter smelter details",IF(ISERROR($V208),"",OFFSET('Smelter Look-up'!$F$4,$V208-4,0)))</f>
        <v>RMI</v>
      </c>
      <c r="H208" s="216">
        <f ca="1">IF(ISERROR($V208),"",OFFSET('Smelter Look-up'!$G$4,$V208-4,0))</f>
        <v>0</v>
      </c>
      <c r="I208" s="217" t="str">
        <f ca="1">IF(ISERROR($V208),"",OFFSET('Smelter Look-up'!$H$4,$V208-4,0))</f>
        <v>Tinh Tuc</v>
      </c>
      <c r="J208" s="217" t="str">
        <f ca="1">IF(ISERROR($V208),"",OFFSET('Smelter Look-up'!$I$4,$V208-4,0))</f>
        <v>Cao Bằng</v>
      </c>
      <c r="K208" s="268"/>
      <c r="L208" s="268"/>
      <c r="M208" s="268"/>
      <c r="N208" s="268"/>
      <c r="O208" s="268"/>
      <c r="P208" s="218"/>
      <c r="Q208" s="269"/>
      <c r="R208" s="215" t="str">
        <f ca="1">IF(ISERROR($V208),"",OFFSET('Smelter Look-up'!$C$4,$V208-4,0)&amp;"")</f>
        <v>Electro-Mechanical Facility of the Cao Bang Minerals &amp; Metallurgy Joint Stock Company</v>
      </c>
      <c r="S208" s="222" t="str">
        <f t="shared" ca="1" si="30"/>
        <v>VN</v>
      </c>
      <c r="T208" s="222" t="str">
        <f ca="1">IF(B208="","",IF(ISERROR(MATCH($J208,SorP!$B$1:$B$6230,0)),"",INDIRECT("'SorP'!$A$"&amp;MATCH($J208,SorP!$B$1:$B$6230,0))))</f>
        <v>VN-04</v>
      </c>
      <c r="U208" s="238"/>
      <c r="V208" s="270">
        <f ca="1">IF(C208="",NA(),MATCH($B208&amp;$C208,'Smelter Look-up'!$J:$J,0))</f>
        <v>411</v>
      </c>
      <c r="W208" s="271"/>
      <c r="X208" s="271">
        <f t="shared" ca="1" si="31"/>
        <v>0</v>
      </c>
      <c r="Y208" s="271"/>
      <c r="Z208" s="271"/>
      <c r="AB208" s="273" t="str">
        <f t="shared" ca="1" si="32"/>
        <v>TinElectro-Mechanical Facility of the Cao Bang Minerals &amp; Metallurgy Joint Stock Company</v>
      </c>
    </row>
    <row r="209" spans="1:28" s="272" customFormat="1" ht="114.75">
      <c r="A209" s="214" t="s">
        <v>1824</v>
      </c>
      <c r="B209" s="215" t="str">
        <f ca="1">IF(LEN(A209)=0,"",INDEX('Smelter Look-up'!$A:$A,MATCH($A209,'Smelter Look-up'!$E:$E,0)))</f>
        <v>Tin</v>
      </c>
      <c r="C209" s="219" t="str">
        <f ca="1">IF(LEN(A209)=0,"",INDEX('Smelter Look-up'!$C:$C,MATCH($A209,'Smelter Look-up'!$E:$E,0)))</f>
        <v>Nghe Tinh Non-Ferrous Metals Joint Stock Company</v>
      </c>
      <c r="D209" s="278"/>
      <c r="E209" s="215" t="str">
        <f ca="1">IF(ISERROR($V209),"",OFFSET('Smelter Look-up'!$D$4,$V209-4,0)&amp;"")</f>
        <v>VIET NAM</v>
      </c>
      <c r="F209" s="215" t="str">
        <f ca="1">IF(ISERROR($V209),"",OFFSET('Smelter Look-up'!$E$4,$V209-4,0))</f>
        <v>CID002573</v>
      </c>
      <c r="G209" s="215" t="str">
        <f ca="1">IF(C209=$X$4,"Enter smelter details",IF(ISERROR($V209),"",OFFSET('Smelter Look-up'!$F$4,$V209-4,0)))</f>
        <v>RMI</v>
      </c>
      <c r="H209" s="216">
        <f ca="1">IF(ISERROR($V209),"",OFFSET('Smelter Look-up'!$G$4,$V209-4,0))</f>
        <v>0</v>
      </c>
      <c r="I209" s="217" t="str">
        <f ca="1">IF(ISERROR($V209),"",OFFSET('Smelter Look-up'!$H$4,$V209-4,0))</f>
        <v>Quy Hop</v>
      </c>
      <c r="J209" s="217" t="str">
        <f ca="1">IF(ISERROR($V209),"",OFFSET('Smelter Look-up'!$I$4,$V209-4,0))</f>
        <v>Nghệ An</v>
      </c>
      <c r="K209" s="268"/>
      <c r="L209" s="268"/>
      <c r="M209" s="268"/>
      <c r="N209" s="268"/>
      <c r="O209" s="268"/>
      <c r="P209" s="218"/>
      <c r="Q209" s="269"/>
      <c r="R209" s="215" t="str">
        <f ca="1">IF(ISERROR($V209),"",OFFSET('Smelter Look-up'!$C$4,$V209-4,0)&amp;"")</f>
        <v>Nghe Tinh Non-Ferrous Metals Joint Stock Company</v>
      </c>
      <c r="S209" s="222" t="str">
        <f t="shared" ca="1" si="30"/>
        <v>VN</v>
      </c>
      <c r="T209" s="222" t="str">
        <f ca="1">IF(B209="","",IF(ISERROR(MATCH($J209,SorP!$B$1:$B$6230,0)),"",INDIRECT("'SorP'!$A$"&amp;MATCH($J209,SorP!$B$1:$B$6230,0))))</f>
        <v>VN-22</v>
      </c>
      <c r="U209" s="238"/>
      <c r="V209" s="270">
        <f ca="1">IF(C209="",NA(),MATCH($B209&amp;$C209,'Smelter Look-up'!$J:$J,0))</f>
        <v>466</v>
      </c>
      <c r="W209" s="271"/>
      <c r="X209" s="271">
        <f t="shared" ca="1" si="31"/>
        <v>0</v>
      </c>
      <c r="Y209" s="271"/>
      <c r="Z209" s="271"/>
      <c r="AB209" s="273" t="str">
        <f t="shared" ca="1" si="32"/>
        <v>TinNghe Tinh Non-Ferrous Metals Joint Stock Company</v>
      </c>
    </row>
    <row r="210" spans="1:28" s="272" customFormat="1" ht="25.5">
      <c r="A210" s="214" t="s">
        <v>15375</v>
      </c>
      <c r="B210" s="215" t="str">
        <f ca="1">IF(LEN(A210)=0,"",INDEX('Smelter Look-up'!$A:$A,MATCH($A210,'Smelter Look-up'!$E:$E,0)))</f>
        <v>Tin</v>
      </c>
      <c r="C210" s="219" t="str">
        <f ca="1">IF(LEN(A210)=0,"",INDEX('Smelter Look-up'!$C:$C,MATCH($A210,'Smelter Look-up'!$E:$E,0)))</f>
        <v>CV Ayi Jaya</v>
      </c>
      <c r="D210" s="278"/>
      <c r="E210" s="215" t="str">
        <f ca="1">IF(ISERROR($V210),"",OFFSET('Smelter Look-up'!$D$4,$V210-4,0)&amp;"")</f>
        <v>INDONESIA</v>
      </c>
      <c r="F210" s="215" t="str">
        <f ca="1">IF(ISERROR($V210),"",OFFSET('Smelter Look-up'!$E$4,$V210-4,0))</f>
        <v>CID002570</v>
      </c>
      <c r="G210" s="215" t="str">
        <f ca="1">IF(C210=$X$4,"Enter smelter details",IF(ISERROR($V210),"",OFFSET('Smelter Look-up'!$F$4,$V210-4,0)))</f>
        <v>RMI</v>
      </c>
      <c r="H210" s="216">
        <f ca="1">IF(ISERROR($V210),"",OFFSET('Smelter Look-up'!$G$4,$V210-4,0))</f>
        <v>0</v>
      </c>
      <c r="I210" s="217" t="str">
        <f ca="1">IF(ISERROR($V210),"",OFFSET('Smelter Look-up'!$H$4,$V210-4,0))</f>
        <v>Sungailiat</v>
      </c>
      <c r="J210" s="217" t="str">
        <f ca="1">IF(ISERROR($V210),"",OFFSET('Smelter Look-up'!$I$4,$V210-4,0))</f>
        <v>Kepulauan Bangka Belitung</v>
      </c>
      <c r="K210" s="268"/>
      <c r="L210" s="268"/>
      <c r="M210" s="268"/>
      <c r="N210" s="268"/>
      <c r="O210" s="268"/>
      <c r="P210" s="218"/>
      <c r="Q210" s="269"/>
      <c r="R210" s="215" t="str">
        <f ca="1">IF(ISERROR($V210),"",OFFSET('Smelter Look-up'!$C$4,$V210-4,0)&amp;"")</f>
        <v>CV Ayi Jaya</v>
      </c>
      <c r="S210" s="222" t="str">
        <f t="shared" ca="1" si="30"/>
        <v>ID</v>
      </c>
      <c r="T210" s="222" t="str">
        <f ca="1">IF(B210="","",IF(ISERROR(MATCH($J210,SorP!$B$1:$B$6230,0)),"",INDIRECT("'SorP'!$A$"&amp;MATCH($J210,SorP!$B$1:$B$6230,0))))</f>
        <v>ID-BB</v>
      </c>
      <c r="U210" s="238"/>
      <c r="V210" s="270">
        <f ca="1">IF(C210="",NA(),MATCH($B210&amp;$C210,'Smelter Look-up'!$J:$J,0))</f>
        <v>404</v>
      </c>
      <c r="W210" s="271"/>
      <c r="X210" s="271">
        <f t="shared" ca="1" si="31"/>
        <v>0</v>
      </c>
      <c r="Y210" s="271"/>
      <c r="Z210" s="271"/>
      <c r="AB210" s="273" t="str">
        <f t="shared" ca="1" si="32"/>
        <v>TinCV Ayi Jaya</v>
      </c>
    </row>
    <row r="211" spans="1:28" s="272" customFormat="1" ht="51">
      <c r="A211" s="214" t="s">
        <v>1718</v>
      </c>
      <c r="B211" s="215" t="str">
        <f ca="1">IF(LEN(A211)=0,"",INDEX('Smelter Look-up'!$A:$A,MATCH($A211,'Smelter Look-up'!$E:$E,0)))</f>
        <v>Gold</v>
      </c>
      <c r="C211" s="219" t="str">
        <f ca="1">IF(LEN(A211)=0,"",INDEX('Smelter Look-up'!$C:$C,MATCH($A211,'Smelter Look-up'!$E:$E,0)))</f>
        <v>Kaloti Precious Metals</v>
      </c>
      <c r="D211" s="278"/>
      <c r="E211" s="215" t="str">
        <f ca="1">IF(ISERROR($V211),"",OFFSET('Smelter Look-up'!$D$4,$V211-4,0)&amp;"")</f>
        <v>UNITED ARAB EMIRATES</v>
      </c>
      <c r="F211" s="215" t="str">
        <f ca="1">IF(ISERROR($V211),"",OFFSET('Smelter Look-up'!$E$4,$V211-4,0))</f>
        <v>CID002563</v>
      </c>
      <c r="G211" s="215" t="str">
        <f ca="1">IF(C211=$X$4,"Enter smelter details",IF(ISERROR($V211),"",OFFSET('Smelter Look-up'!$F$4,$V211-4,0)))</f>
        <v>RMI</v>
      </c>
      <c r="H211" s="216">
        <f ca="1">IF(ISERROR($V211),"",OFFSET('Smelter Look-up'!$G$4,$V211-4,0))</f>
        <v>0</v>
      </c>
      <c r="I211" s="217" t="str">
        <f ca="1">IF(ISERROR($V211),"",OFFSET('Smelter Look-up'!$H$4,$V211-4,0))</f>
        <v>Dubai</v>
      </c>
      <c r="J211" s="217" t="str">
        <f ca="1">IF(ISERROR($V211),"",OFFSET('Smelter Look-up'!$I$4,$V211-4,0))</f>
        <v>Dubayy</v>
      </c>
      <c r="K211" s="268"/>
      <c r="L211" s="268"/>
      <c r="M211" s="268"/>
      <c r="N211" s="268"/>
      <c r="O211" s="268"/>
      <c r="P211" s="218"/>
      <c r="Q211" s="269"/>
      <c r="R211" s="215" t="str">
        <f ca="1">IF(ISERROR($V211),"",OFFSET('Smelter Look-up'!$C$4,$V211-4,0)&amp;"")</f>
        <v>Kaloti Precious Metals</v>
      </c>
      <c r="S211" s="222" t="str">
        <f t="shared" ca="1" si="30"/>
        <v>AE</v>
      </c>
      <c r="T211" s="222" t="str">
        <f ca="1">IF(B211="","",IF(ISERROR(MATCH($J211,SorP!$B$1:$B$6230,0)),"",INDIRECT("'SorP'!$A$"&amp;MATCH($J211,SorP!$B$1:$B$6230,0))))</f>
        <v>AE-DU</v>
      </c>
      <c r="U211" s="238"/>
      <c r="V211" s="270">
        <f ca="1">IF(C211="",NA(),MATCH($B211&amp;$C211,'Smelter Look-up'!$J:$J,0))</f>
        <v>130</v>
      </c>
      <c r="W211" s="271"/>
      <c r="X211" s="271">
        <f t="shared" ca="1" si="31"/>
        <v>0</v>
      </c>
      <c r="Y211" s="271"/>
      <c r="Z211" s="271"/>
      <c r="AB211" s="273" t="str">
        <f t="shared" ca="1" si="32"/>
        <v>GoldKaloti Precious Metals</v>
      </c>
    </row>
    <row r="212" spans="1:28" s="272" customFormat="1" ht="89.25">
      <c r="A212" s="214" t="s">
        <v>2547</v>
      </c>
      <c r="B212" s="215" t="str">
        <f ca="1">IF(LEN(A212)=0,"",INDEX('Smelter Look-up'!$A:$A,MATCH($A212,'Smelter Look-up'!$E:$E,0)))</f>
        <v>Gold</v>
      </c>
      <c r="C212" s="219" t="str">
        <f ca="1">IF(LEN(A212)=0,"",INDEX('Smelter Look-up'!$C:$C,MATCH($A212,'Smelter Look-up'!$E:$E,0)))</f>
        <v>Planta Recuperadora de Metales SpA</v>
      </c>
      <c r="D212" s="278"/>
      <c r="E212" s="215" t="str">
        <f ca="1">IF(ISERROR($V212),"",OFFSET('Smelter Look-up'!$D$4,$V212-4,0)&amp;"")</f>
        <v>CHILE</v>
      </c>
      <c r="F212" s="215" t="str">
        <f ca="1">IF(ISERROR($V212),"",OFFSET('Smelter Look-up'!$E$4,$V212-4,0))</f>
        <v>CID002919</v>
      </c>
      <c r="G212" s="215" t="str">
        <f ca="1">IF(C212=$X$4,"Enter smelter details",IF(ISERROR($V212),"",OFFSET('Smelter Look-up'!$F$4,$V212-4,0)))</f>
        <v>RMI</v>
      </c>
      <c r="H212" s="216">
        <f ca="1">IF(ISERROR($V212),"",OFFSET('Smelter Look-up'!$G$4,$V212-4,0))</f>
        <v>0</v>
      </c>
      <c r="I212" s="217" t="str">
        <f ca="1">IF(ISERROR($V212),"",OFFSET('Smelter Look-up'!$H$4,$V212-4,0))</f>
        <v>Mejillones</v>
      </c>
      <c r="J212" s="217" t="str">
        <f ca="1">IF(ISERROR($V212),"",OFFSET('Smelter Look-up'!$I$4,$V212-4,0))</f>
        <v>Antofagasta</v>
      </c>
      <c r="K212" s="268"/>
      <c r="L212" s="268"/>
      <c r="M212" s="268"/>
      <c r="N212" s="268"/>
      <c r="O212" s="268"/>
      <c r="P212" s="218"/>
      <c r="Q212" s="269"/>
      <c r="R212" s="215" t="str">
        <f ca="1">IF(ISERROR($V212),"",OFFSET('Smelter Look-up'!$C$4,$V212-4,0)&amp;"")</f>
        <v>Planta Recuperadora de Metales SpA</v>
      </c>
      <c r="S212" s="222" t="str">
        <f t="shared" ca="1" si="30"/>
        <v>CL</v>
      </c>
      <c r="T212" s="222" t="str">
        <f ca="1">IF(B212="","",IF(ISERROR(MATCH($J212,SorP!$B$1:$B$6230,0)),"",INDIRECT("'SorP'!$A$"&amp;MATCH($J212,SorP!$B$1:$B$6230,0))))</f>
        <v>CL-AN</v>
      </c>
      <c r="U212" s="238"/>
      <c r="V212" s="270">
        <f ca="1">IF(C212="",NA(),MATCH($B212&amp;$C212,'Smelter Look-up'!$J:$J,0))</f>
        <v>203</v>
      </c>
      <c r="W212" s="271"/>
      <c r="X212" s="271">
        <f t="shared" ca="1" si="31"/>
        <v>0</v>
      </c>
      <c r="Y212" s="271"/>
      <c r="Z212" s="271"/>
      <c r="AB212" s="273" t="str">
        <f t="shared" ca="1" si="32"/>
        <v>GoldPlanta Recuperadora de Metales SpA</v>
      </c>
    </row>
    <row r="213" spans="1:28" s="272" customFormat="1" ht="63.75">
      <c r="A213" s="214" t="s">
        <v>2483</v>
      </c>
      <c r="B213" s="215" t="str">
        <f ca="1">IF(LEN(A213)=0,"",INDEX('Smelter Look-up'!$A:$A,MATCH($A213,'Smelter Look-up'!$E:$E,0)))</f>
        <v>Gold</v>
      </c>
      <c r="C213" s="219" t="str">
        <f ca="1">IF(LEN(A213)=0,"",INDEX('Smelter Look-up'!$C:$C,MATCH($A213,'Smelter Look-up'!$E:$E,0)))</f>
        <v>SungEel HiMetal Co., Ltd.</v>
      </c>
      <c r="D213" s="278"/>
      <c r="E213" s="215" t="str">
        <f ca="1">IF(ISERROR($V213),"",OFFSET('Smelter Look-up'!$D$4,$V213-4,0)&amp;"")</f>
        <v>KOREA, REPUBLIC OF</v>
      </c>
      <c r="F213" s="215" t="str">
        <f ca="1">IF(ISERROR($V213),"",OFFSET('Smelter Look-up'!$E$4,$V213-4,0))</f>
        <v>CID002918</v>
      </c>
      <c r="G213" s="215" t="str">
        <f ca="1">IF(C213=$X$4,"Enter smelter details",IF(ISERROR($V213),"",OFFSET('Smelter Look-up'!$F$4,$V213-4,0)))</f>
        <v>RMI</v>
      </c>
      <c r="H213" s="216">
        <f ca="1">IF(ISERROR($V213),"",OFFSET('Smelter Look-up'!$G$4,$V213-4,0))</f>
        <v>0</v>
      </c>
      <c r="I213" s="217" t="str">
        <f ca="1">IF(ISERROR($V213),"",OFFSET('Smelter Look-up'!$H$4,$V213-4,0))</f>
        <v>Gunsan-si</v>
      </c>
      <c r="J213" s="217" t="str">
        <f ca="1">IF(ISERROR($V213),"",OFFSET('Smelter Look-up'!$I$4,$V213-4,0))</f>
        <v>Jeollabuk-do</v>
      </c>
      <c r="K213" s="268"/>
      <c r="L213" s="268"/>
      <c r="M213" s="268"/>
      <c r="N213" s="268"/>
      <c r="O213" s="268"/>
      <c r="P213" s="218"/>
      <c r="Q213" s="269"/>
      <c r="R213" s="215" t="str">
        <f ca="1">IF(ISERROR($V213),"",OFFSET('Smelter Look-up'!$C$4,$V213-4,0)&amp;"")</f>
        <v>SungEel HiMetal Co., Ltd.</v>
      </c>
      <c r="S213" s="222" t="str">
        <f t="shared" ca="1" si="30"/>
        <v>KR</v>
      </c>
      <c r="T213" s="222" t="str">
        <f ca="1">IF(B213="","",IF(ISERROR(MATCH($J213,SorP!$B$1:$B$6230,0)),"",INDIRECT("'SorP'!$A$"&amp;MATCH($J213,SorP!$B$1:$B$6230,0))))</f>
        <v>KR-45</v>
      </c>
      <c r="U213" s="238"/>
      <c r="V213" s="270">
        <f ca="1">IF(C213="",NA(),MATCH($B213&amp;$C213,'Smelter Look-up'!$J:$J,0))</f>
        <v>260</v>
      </c>
      <c r="W213" s="271"/>
      <c r="X213" s="271">
        <f t="shared" ca="1" si="31"/>
        <v>0</v>
      </c>
      <c r="Y213" s="271"/>
      <c r="Z213" s="271"/>
      <c r="AB213" s="273" t="str">
        <f t="shared" ca="1" si="32"/>
        <v>GoldSungEel HiMetal Co., Ltd.</v>
      </c>
    </row>
    <row r="214" spans="1:28" s="272" customFormat="1" ht="102">
      <c r="A214" s="214" t="s">
        <v>14022</v>
      </c>
      <c r="B214" s="215" t="str">
        <f ca="1">IF(LEN(A214)=0,"",INDEX('Smelter Look-up'!$A:$A,MATCH($A214,'Smelter Look-up'!$E:$E,0)))</f>
        <v>Tin</v>
      </c>
      <c r="C214" s="219" t="str">
        <f ca="1">IF(LEN(A214)=0,"",INDEX('Smelter Look-up'!$C:$C,MATCH($A214,'Smelter Look-up'!$E:$E,0)))</f>
        <v>Dongguan CiEXPO Environmental Engineering Co., Ltd.</v>
      </c>
      <c r="D214" s="278"/>
      <c r="E214" s="215" t="str">
        <f ca="1">IF(ISERROR($V214),"",OFFSET('Smelter Look-up'!$D$4,$V214-4,0)&amp;"")</f>
        <v>CHINA</v>
      </c>
      <c r="F214" s="215" t="str">
        <f ca="1">IF(ISERROR($V214),"",OFFSET('Smelter Look-up'!$E$4,$V214-4,0))</f>
        <v>CID003356</v>
      </c>
      <c r="G214" s="215" t="str">
        <f ca="1">IF(C214=$X$4,"Enter smelter details",IF(ISERROR($V214),"",OFFSET('Smelter Look-up'!$F$4,$V214-4,0)))</f>
        <v>RMI</v>
      </c>
      <c r="H214" s="216">
        <f ca="1">IF(ISERROR($V214),"",OFFSET('Smelter Look-up'!$G$4,$V214-4,0))</f>
        <v>0</v>
      </c>
      <c r="I214" s="217" t="str">
        <f ca="1">IF(ISERROR($V214),"",OFFSET('Smelter Look-up'!$H$4,$V214-4,0))</f>
        <v>Dongguan</v>
      </c>
      <c r="J214" s="217" t="str">
        <f ca="1">IF(ISERROR($V214),"",OFFSET('Smelter Look-up'!$I$4,$V214-4,0))</f>
        <v>Guangdong Sheng</v>
      </c>
      <c r="K214" s="268"/>
      <c r="L214" s="268"/>
      <c r="M214" s="268"/>
      <c r="N214" s="268"/>
      <c r="O214" s="268"/>
      <c r="P214" s="218"/>
      <c r="Q214" s="269"/>
      <c r="R214" s="215" t="str">
        <f ca="1">IF(ISERROR($V214),"",OFFSET('Smelter Look-up'!$C$4,$V214-4,0)&amp;"")</f>
        <v>Dongguan CiEXPO Environmental Engineering Co., Ltd.</v>
      </c>
      <c r="S214" s="222" t="str">
        <f t="shared" ca="1" si="30"/>
        <v>CN</v>
      </c>
      <c r="T214" s="222" t="str">
        <f ca="1">IF(B214="","",IF(ISERROR(MATCH($J214,SorP!$B$1:$B$6230,0)),"",INDIRECT("'SorP'!$A$"&amp;MATCH($J214,SorP!$B$1:$B$6230,0))))</f>
        <v>CN-GD</v>
      </c>
      <c r="U214" s="238"/>
      <c r="V214" s="270">
        <f ca="1">IF(C214="",NA(),MATCH($B214&amp;$C214,'Smelter Look-up'!$J:$J,0))</f>
        <v>408</v>
      </c>
      <c r="W214" s="271"/>
      <c r="X214" s="271">
        <f t="shared" ca="1" si="31"/>
        <v>0</v>
      </c>
      <c r="Y214" s="271"/>
      <c r="Z214" s="271"/>
      <c r="AB214" s="273" t="str">
        <f t="shared" ca="1" si="32"/>
        <v>TinDongguan CiEXPO Environmental Engineering Co., Ltd.</v>
      </c>
    </row>
    <row r="215" spans="1:28" s="272" customFormat="1" ht="89.25">
      <c r="A215" s="214" t="s">
        <v>15327</v>
      </c>
      <c r="B215" s="215" t="str">
        <f ca="1">IF(LEN(A215)=0,"",INDEX('Smelter Look-up'!$A:$A,MATCH($A215,'Smelter Look-up'!$E:$E,0)))</f>
        <v>Gold</v>
      </c>
      <c r="C215" s="219" t="str">
        <f ca="1">IF(LEN(A215)=0,"",INDEX('Smelter Look-up'!$C:$C,MATCH($A215,'Smelter Look-up'!$E:$E,0)))</f>
        <v>Emerald Jewel Industry India Limited (Unit 1)</v>
      </c>
      <c r="D215" s="278"/>
      <c r="E215" s="215" t="str">
        <f ca="1">IF(ISERROR($V215),"",OFFSET('Smelter Look-up'!$D$4,$V215-4,0)&amp;"")</f>
        <v>INDIA</v>
      </c>
      <c r="F215" s="215" t="str">
        <f ca="1">IF(ISERROR($V215),"",OFFSET('Smelter Look-up'!$E$4,$V215-4,0))</f>
        <v>CID003487</v>
      </c>
      <c r="G215" s="215" t="str">
        <f ca="1">IF(C215=$X$4,"Enter smelter details",IF(ISERROR($V215),"",OFFSET('Smelter Look-up'!$F$4,$V215-4,0)))</f>
        <v>RMI</v>
      </c>
      <c r="H215" s="216">
        <f ca="1">IF(ISERROR($V215),"",OFFSET('Smelter Look-up'!$G$4,$V215-4,0))</f>
        <v>0</v>
      </c>
      <c r="I215" s="217" t="str">
        <f ca="1">IF(ISERROR($V215),"",OFFSET('Smelter Look-up'!$H$4,$V215-4,0))</f>
        <v>Coimbatore</v>
      </c>
      <c r="J215" s="217" t="str">
        <f ca="1">IF(ISERROR($V215),"",OFFSET('Smelter Look-up'!$I$4,$V215-4,0))</f>
        <v>Tamil Nadu</v>
      </c>
      <c r="K215" s="268"/>
      <c r="L215" s="268"/>
      <c r="M215" s="268"/>
      <c r="N215" s="268"/>
      <c r="O215" s="268"/>
      <c r="P215" s="218"/>
      <c r="Q215" s="269"/>
      <c r="R215" s="215" t="str">
        <f ca="1">IF(ISERROR($V215),"",OFFSET('Smelter Look-up'!$C$4,$V215-4,0)&amp;"")</f>
        <v>Emerald Jewel Industry India Limited (Unit 1)</v>
      </c>
      <c r="S215" s="222" t="str">
        <f t="shared" ca="1" si="30"/>
        <v>IN</v>
      </c>
      <c r="T215" s="222" t="str">
        <f ca="1">IF(B215="","",IF(ISERROR(MATCH($J215,SorP!$B$1:$B$6230,0)),"",INDIRECT("'SorP'!$A$"&amp;MATCH($J215,SorP!$B$1:$B$6230,0))))</f>
        <v>IN-TN</v>
      </c>
      <c r="U215" s="238"/>
      <c r="V215" s="270">
        <f ca="1">IF(C215="",NA(),MATCH($B215&amp;$C215,'Smelter Look-up'!$J:$J,0))</f>
        <v>74</v>
      </c>
      <c r="W215" s="271"/>
      <c r="X215" s="271">
        <f t="shared" ca="1" si="31"/>
        <v>0</v>
      </c>
      <c r="Y215" s="271"/>
      <c r="Z215" s="271"/>
      <c r="AB215" s="273" t="str">
        <f t="shared" ca="1" si="32"/>
        <v>GoldEmerald Jewel Industry India Limited (Unit 1)</v>
      </c>
    </row>
    <row r="216" spans="1:28" s="272" customFormat="1" ht="76.5">
      <c r="A216" s="214" t="s">
        <v>1627</v>
      </c>
      <c r="B216" s="215" t="str">
        <f ca="1">IF(LEN(A216)=0,"",INDEX('Smelter Look-up'!$A:$A,MATCH($A216,'Smelter Look-up'!$E:$E,0)))</f>
        <v>Gold</v>
      </c>
      <c r="C216" s="219" t="str">
        <f ca="1">IF(LEN(A216)=0,"",INDEX('Smelter Look-up'!$C:$C,MATCH($A216,'Smelter Look-up'!$E:$E,0)))</f>
        <v>Metalor Technologies (Suzhou) Ltd.</v>
      </c>
      <c r="D216" s="278"/>
      <c r="E216" s="215" t="str">
        <f ca="1">IF(ISERROR($V216),"",OFFSET('Smelter Look-up'!$D$4,$V216-4,0)&amp;"")</f>
        <v>CHINA</v>
      </c>
      <c r="F216" s="215" t="str">
        <f ca="1">IF(ISERROR($V216),"",OFFSET('Smelter Look-up'!$E$4,$V216-4,0))</f>
        <v>CID001147</v>
      </c>
      <c r="G216" s="215" t="str">
        <f ca="1">IF(C216=$X$4,"Enter smelter details",IF(ISERROR($V216),"",OFFSET('Smelter Look-up'!$F$4,$V216-4,0)))</f>
        <v>RMI</v>
      </c>
      <c r="H216" s="216">
        <f ca="1">IF(ISERROR($V216),"",OFFSET('Smelter Look-up'!$G$4,$V216-4,0))</f>
        <v>0</v>
      </c>
      <c r="I216" s="217" t="str">
        <f ca="1">IF(ISERROR($V216),"",OFFSET('Smelter Look-up'!$H$4,$V216-4,0))</f>
        <v>Suzhou</v>
      </c>
      <c r="J216" s="217" t="str">
        <f ca="1">IF(ISERROR($V216),"",OFFSET('Smelter Look-up'!$I$4,$V216-4,0))</f>
        <v>Jiangsu Sheng</v>
      </c>
      <c r="K216" s="268"/>
      <c r="L216" s="268"/>
      <c r="M216" s="268"/>
      <c r="N216" s="268"/>
      <c r="O216" s="268"/>
      <c r="P216" s="218"/>
      <c r="Q216" s="269"/>
      <c r="R216" s="215" t="str">
        <f ca="1">IF(ISERROR($V216),"",OFFSET('Smelter Look-up'!$C$4,$V216-4,0)&amp;"")</f>
        <v>Metalor Technologies (Suzhou) Ltd.</v>
      </c>
      <c r="S216" s="222" t="str">
        <f t="shared" ca="1" si="30"/>
        <v>CN</v>
      </c>
      <c r="T216" s="222" t="str">
        <f ca="1">IF(B216="","",IF(ISERROR(MATCH($J216,SorP!$B$1:$B$6230,0)),"",INDIRECT("'SorP'!$A$"&amp;MATCH($J216,SorP!$B$1:$B$6230,0))))</f>
        <v>CN-JS</v>
      </c>
      <c r="U216" s="238"/>
      <c r="V216" s="270">
        <f ca="1">IF(C216="",NA(),MATCH($B216&amp;$C216,'Smelter Look-up'!$J:$J,0))</f>
        <v>170</v>
      </c>
      <c r="W216" s="271"/>
      <c r="X216" s="271">
        <f t="shared" ca="1" si="31"/>
        <v>0</v>
      </c>
      <c r="Y216" s="271"/>
      <c r="Z216" s="271"/>
      <c r="AB216" s="273" t="str">
        <f t="shared" ca="1" si="32"/>
        <v>GoldMetalor Technologies (Suzhou) Ltd.</v>
      </c>
    </row>
    <row r="217" spans="1:28" s="272" customFormat="1" ht="89.25">
      <c r="A217" s="214" t="s">
        <v>705</v>
      </c>
      <c r="B217" s="215" t="str">
        <f ca="1">IF(LEN(A217)=0,"",INDEX('Smelter Look-up'!$A:$A,MATCH($A217,'Smelter Look-up'!$E:$E,0)))</f>
        <v>Gold</v>
      </c>
      <c r="C217" s="219" t="str">
        <f ca="1">IF(LEN(A217)=0,"",INDEX('Smelter Look-up'!$C:$C,MATCH($A217,'Smelter Look-up'!$E:$E,0)))</f>
        <v>Metalor Technologies (Hong Kong) Ltd.</v>
      </c>
      <c r="D217" s="278"/>
      <c r="E217" s="215" t="str">
        <f ca="1">IF(ISERROR($V217),"",OFFSET('Smelter Look-up'!$D$4,$V217-4,0)&amp;"")</f>
        <v>CHINA</v>
      </c>
      <c r="F217" s="215" t="str">
        <f ca="1">IF(ISERROR($V217),"",OFFSET('Smelter Look-up'!$E$4,$V217-4,0))</f>
        <v>CID001149</v>
      </c>
      <c r="G217" s="215" t="str">
        <f ca="1">IF(C217=$X$4,"Enter smelter details",IF(ISERROR($V217),"",OFFSET('Smelter Look-up'!$F$4,$V217-4,0)))</f>
        <v>RMI</v>
      </c>
      <c r="H217" s="216">
        <f ca="1">IF(ISERROR($V217),"",OFFSET('Smelter Look-up'!$G$4,$V217-4,0))</f>
        <v>0</v>
      </c>
      <c r="I217" s="217" t="str">
        <f ca="1">IF(ISERROR($V217),"",OFFSET('Smelter Look-up'!$H$4,$V217-4,0))</f>
        <v>Kwai Chung</v>
      </c>
      <c r="J217" s="217" t="str">
        <f ca="1">IF(ISERROR($V217),"",OFFSET('Smelter Look-up'!$I$4,$V217-4,0))</f>
        <v>Hong Kong SAR</v>
      </c>
      <c r="K217" s="268"/>
      <c r="L217" s="268"/>
      <c r="M217" s="268"/>
      <c r="N217" s="268"/>
      <c r="O217" s="268"/>
      <c r="P217" s="218"/>
      <c r="Q217" s="269"/>
      <c r="R217" s="215" t="str">
        <f ca="1">IF(ISERROR($V217),"",OFFSET('Smelter Look-up'!$C$4,$V217-4,0)&amp;"")</f>
        <v>Metalor Technologies (Hong Kong) Ltd.</v>
      </c>
      <c r="S217" s="222" t="str">
        <f t="shared" ca="1" si="30"/>
        <v>CN</v>
      </c>
      <c r="T217" s="222" t="str">
        <f ca="1">IF(B217="","",IF(ISERROR(MATCH($J217,SorP!$B$1:$B$6230,0)),"",INDIRECT("'SorP'!$A$"&amp;MATCH($J217,SorP!$B$1:$B$6230,0))))</f>
        <v>CN-HK</v>
      </c>
      <c r="U217" s="238"/>
      <c r="V217" s="270">
        <f ca="1">IF(C217="",NA(),MATCH($B217&amp;$C217,'Smelter Look-up'!$J:$J,0))</f>
        <v>168</v>
      </c>
      <c r="W217" s="271"/>
      <c r="X217" s="271">
        <f t="shared" ca="1" si="31"/>
        <v>0</v>
      </c>
      <c r="Y217" s="271"/>
      <c r="Z217" s="271"/>
      <c r="AB217" s="273" t="str">
        <f t="shared" ca="1" si="32"/>
        <v>GoldMetalor Technologies (Hong Kong) Ltd.</v>
      </c>
    </row>
    <row r="218" spans="1:28" s="272" customFormat="1" ht="76.5">
      <c r="A218" s="214" t="s">
        <v>712</v>
      </c>
      <c r="B218" s="215" t="str">
        <f ca="1">IF(LEN(A218)=0,"",INDEX('Smelter Look-up'!$A:$A,MATCH($A218,'Smelter Look-up'!$E:$E,0)))</f>
        <v>Gold</v>
      </c>
      <c r="C218" s="219" t="str">
        <f ca="1">IF(LEN(A218)=0,"",INDEX('Smelter Look-up'!$C:$C,MATCH($A218,'Smelter Look-up'!$E:$E,0)))</f>
        <v>Moscow Special Alloys Processing Plant</v>
      </c>
      <c r="D218" s="278"/>
      <c r="E218" s="215" t="str">
        <f ca="1">IF(ISERROR($V218),"",OFFSET('Smelter Look-up'!$D$4,$V218-4,0)&amp;"")</f>
        <v>RUSSIAN FEDERATION</v>
      </c>
      <c r="F218" s="215" t="str">
        <f ca="1">IF(ISERROR($V218),"",OFFSET('Smelter Look-up'!$E$4,$V218-4,0))</f>
        <v>CID001204</v>
      </c>
      <c r="G218" s="215" t="str">
        <f ca="1">IF(C218=$X$4,"Enter smelter details",IF(ISERROR($V218),"",OFFSET('Smelter Look-up'!$F$4,$V218-4,0)))</f>
        <v>RMI</v>
      </c>
      <c r="H218" s="216">
        <f ca="1">IF(ISERROR($V218),"",OFFSET('Smelter Look-up'!$G$4,$V218-4,0))</f>
        <v>0</v>
      </c>
      <c r="I218" s="217" t="str">
        <f ca="1">IF(ISERROR($V218),"",OFFSET('Smelter Look-up'!$H$4,$V218-4,0))</f>
        <v>Obrucheva</v>
      </c>
      <c r="J218" s="217" t="str">
        <f ca="1">IF(ISERROR($V218),"",OFFSET('Smelter Look-up'!$I$4,$V218-4,0))</f>
        <v>Moskva</v>
      </c>
      <c r="K218" s="268"/>
      <c r="L218" s="268"/>
      <c r="M218" s="268"/>
      <c r="N218" s="268"/>
      <c r="O218" s="268"/>
      <c r="P218" s="218"/>
      <c r="Q218" s="269"/>
      <c r="R218" s="215" t="str">
        <f ca="1">IF(ISERROR($V218),"",OFFSET('Smelter Look-up'!$C$4,$V218-4,0)&amp;"")</f>
        <v>Moscow Special Alloys Processing Plant</v>
      </c>
      <c r="S218" s="222" t="str">
        <f t="shared" ca="1" si="30"/>
        <v>RU</v>
      </c>
      <c r="T218" s="222" t="str">
        <f ca="1">IF(B218="","",IF(ISERROR(MATCH($J218,SorP!$B$1:$B$6230,0)),"",INDIRECT("'SorP'!$A$"&amp;MATCH($J218,SorP!$B$1:$B$6230,0))))</f>
        <v>RU-MOW</v>
      </c>
      <c r="U218" s="238"/>
      <c r="V218" s="270">
        <f ca="1">IF(C218="",NA(),MATCH($B218&amp;$C218,'Smelter Look-up'!$J:$J,0))</f>
        <v>183</v>
      </c>
      <c r="W218" s="271"/>
      <c r="X218" s="271">
        <f t="shared" ca="1" si="31"/>
        <v>0</v>
      </c>
      <c r="Y218" s="271"/>
      <c r="Z218" s="271"/>
      <c r="AB218" s="273" t="str">
        <f t="shared" ca="1" si="32"/>
        <v>GoldMoscow Special Alloys Processing Plant</v>
      </c>
    </row>
    <row r="219" spans="1:28" s="272" customFormat="1" ht="76.5">
      <c r="A219" s="214" t="s">
        <v>15392</v>
      </c>
      <c r="B219" s="215" t="str">
        <f ca="1">IF(LEN(A219)=0,"",INDEX('Smelter Look-up'!$A:$A,MATCH($A219,'Smelter Look-up'!$E:$E,0)))</f>
        <v>Tin</v>
      </c>
      <c r="C219" s="219" t="str">
        <f ca="1">IF(LEN(A219)=0,"",INDEX('Smelter Look-up'!$C:$C,MATCH($A219,'Smelter Look-up'!$E:$E,0)))</f>
        <v>VQB Mineral and Trading Group JSC</v>
      </c>
      <c r="D219" s="278"/>
      <c r="E219" s="215" t="str">
        <f ca="1">IF(ISERROR($V219),"",OFFSET('Smelter Look-up'!$D$4,$V219-4,0)&amp;"")</f>
        <v>VIET NAM</v>
      </c>
      <c r="F219" s="215" t="str">
        <f ca="1">IF(ISERROR($V219),"",OFFSET('Smelter Look-up'!$E$4,$V219-4,0))</f>
        <v>CID002015</v>
      </c>
      <c r="G219" s="215" t="str">
        <f ca="1">IF(C219=$X$4,"Enter smelter details",IF(ISERROR($V219),"",OFFSET('Smelter Look-up'!$F$4,$V219-4,0)))</f>
        <v>RMI</v>
      </c>
      <c r="H219" s="216">
        <f ca="1">IF(ISERROR($V219),"",OFFSET('Smelter Look-up'!$G$4,$V219-4,0))</f>
        <v>0</v>
      </c>
      <c r="I219" s="217" t="str">
        <f ca="1">IF(ISERROR($V219),"",OFFSET('Smelter Look-up'!$H$4,$V219-4,0))</f>
        <v>Hanoi</v>
      </c>
      <c r="J219" s="217" t="str">
        <f ca="1">IF(ISERROR($V219),"",OFFSET('Smelter Look-up'!$I$4,$V219-4,0))</f>
        <v>Ha Noi</v>
      </c>
      <c r="K219" s="268"/>
      <c r="L219" s="268"/>
      <c r="M219" s="268"/>
      <c r="N219" s="268"/>
      <c r="O219" s="268"/>
      <c r="P219" s="218"/>
      <c r="Q219" s="269"/>
      <c r="R219" s="215" t="str">
        <f ca="1">IF(ISERROR($V219),"",OFFSET('Smelter Look-up'!$C$4,$V219-4,0)&amp;"")</f>
        <v>VQB Mineral and Trading Group JSC</v>
      </c>
      <c r="S219" s="222" t="str">
        <f t="shared" ca="1" si="30"/>
        <v>VN</v>
      </c>
      <c r="T219" s="222" t="str">
        <f ca="1">IF(B219="","",IF(ISERROR(MATCH($J219,SorP!$B$1:$B$6230,0)),"",INDIRECT("'SorP'!$A$"&amp;MATCH($J219,SorP!$B$1:$B$6230,0))))</f>
        <v>VN-HN</v>
      </c>
      <c r="U219" s="238"/>
      <c r="V219" s="270">
        <f ca="1">IF(C219="",NA(),MATCH($B219&amp;$C219,'Smelter Look-up'!$J:$J,0))</f>
        <v>511</v>
      </c>
      <c r="W219" s="271"/>
      <c r="X219" s="271">
        <f t="shared" ca="1" si="31"/>
        <v>0</v>
      </c>
      <c r="Y219" s="271"/>
      <c r="Z219" s="271"/>
      <c r="AB219" s="273" t="str">
        <f t="shared" ca="1" si="32"/>
        <v>TinVQB Mineral and Trading Group JSC</v>
      </c>
    </row>
    <row r="220" spans="1:28" s="272" customFormat="1" ht="102">
      <c r="A220" s="214" t="s">
        <v>741</v>
      </c>
      <c r="B220" s="215" t="str">
        <f ca="1">IF(LEN(A220)=0,"",INDEX('Smelter Look-up'!$A:$A,MATCH($A220,'Smelter Look-up'!$E:$E,0)))</f>
        <v>Gold</v>
      </c>
      <c r="C220" s="219" t="str">
        <f ca="1">IF(LEN(A220)=0,"",INDEX('Smelter Look-up'!$C:$C,MATCH($A220,'Smelter Look-up'!$E:$E,0)))</f>
        <v>Western Australian Mint (T/a The Perth Mint)</v>
      </c>
      <c r="D220" s="278"/>
      <c r="E220" s="215" t="str">
        <f ca="1">IF(ISERROR($V220),"",OFFSET('Smelter Look-up'!$D$4,$V220-4,0)&amp;"")</f>
        <v>AUSTRALIA</v>
      </c>
      <c r="F220" s="215" t="str">
        <f ca="1">IF(ISERROR($V220),"",OFFSET('Smelter Look-up'!$E$4,$V220-4,0))</f>
        <v>CID002030</v>
      </c>
      <c r="G220" s="215" t="str">
        <f ca="1">IF(C220=$X$4,"Enter smelter details",IF(ISERROR($V220),"",OFFSET('Smelter Look-up'!$F$4,$V220-4,0)))</f>
        <v>RMI</v>
      </c>
      <c r="H220" s="216">
        <f ca="1">IF(ISERROR($V220),"",OFFSET('Smelter Look-up'!$G$4,$V220-4,0))</f>
        <v>0</v>
      </c>
      <c r="I220" s="217" t="str">
        <f ca="1">IF(ISERROR($V220),"",OFFSET('Smelter Look-up'!$H$4,$V220-4,0))</f>
        <v>Newburn</v>
      </c>
      <c r="J220" s="217" t="str">
        <f ca="1">IF(ISERROR($V220),"",OFFSET('Smelter Look-up'!$I$4,$V220-4,0))</f>
        <v>Western Australia</v>
      </c>
      <c r="K220" s="268"/>
      <c r="L220" s="268"/>
      <c r="M220" s="268"/>
      <c r="N220" s="268"/>
      <c r="O220" s="268"/>
      <c r="P220" s="218"/>
      <c r="Q220" s="269"/>
      <c r="R220" s="215" t="str">
        <f ca="1">IF(ISERROR($V220),"",OFFSET('Smelter Look-up'!$C$4,$V220-4,0)&amp;"")</f>
        <v>Western Australian Mint (T/a The Perth Mint)</v>
      </c>
      <c r="S220" s="222" t="str">
        <f t="shared" ca="1" si="30"/>
        <v>AU</v>
      </c>
      <c r="T220" s="222" t="str">
        <f ca="1">IF(B220="","",IF(ISERROR(MATCH($J220,SorP!$B$1:$B$6230,0)),"",INDIRECT("'SorP'!$A$"&amp;MATCH($J220,SorP!$B$1:$B$6230,0))))</f>
        <v>AU-WA</v>
      </c>
      <c r="U220" s="238"/>
      <c r="V220" s="270">
        <f ca="1">IF(C220="",NA(),MATCH($B220&amp;$C220,'Smelter Look-up'!$J:$J,0))</f>
        <v>291</v>
      </c>
      <c r="W220" s="271"/>
      <c r="X220" s="271">
        <f t="shared" ca="1" si="31"/>
        <v>0</v>
      </c>
      <c r="Y220" s="271"/>
      <c r="Z220" s="271"/>
      <c r="AB220" s="273" t="str">
        <f t="shared" ca="1" si="32"/>
        <v>GoldWestern Australian Mint (T/a The Perth Mint)</v>
      </c>
    </row>
    <row r="221" spans="1:28" s="272" customFormat="1" ht="38.25">
      <c r="A221" s="214" t="s">
        <v>2227</v>
      </c>
      <c r="B221" s="215" t="str">
        <f ca="1">IF(LEN(A221)=0,"",INDEX('Smelter Look-up'!$A:$A,MATCH($A221,'Smelter Look-up'!$E:$E,0)))</f>
        <v>Gold</v>
      </c>
      <c r="C221" s="219" t="str">
        <f ca="1">IF(LEN(A221)=0,"",INDEX('Smelter Look-up'!$C:$C,MATCH($A221,'Smelter Look-up'!$E:$E,0)))</f>
        <v>Morris and Watson</v>
      </c>
      <c r="D221" s="278"/>
      <c r="E221" s="215" t="str">
        <f ca="1">IF(ISERROR($V221),"",OFFSET('Smelter Look-up'!$D$4,$V221-4,0)&amp;"")</f>
        <v>NEW ZEALAND</v>
      </c>
      <c r="F221" s="215" t="str">
        <f ca="1">IF(ISERROR($V221),"",OFFSET('Smelter Look-up'!$E$4,$V221-4,0))</f>
        <v>CID002282</v>
      </c>
      <c r="G221" s="215" t="str">
        <f ca="1">IF(C221=$X$4,"Enter smelter details",IF(ISERROR($V221),"",OFFSET('Smelter Look-up'!$F$4,$V221-4,0)))</f>
        <v>RMI</v>
      </c>
      <c r="H221" s="216">
        <f ca="1">IF(ISERROR($V221),"",OFFSET('Smelter Look-up'!$G$4,$V221-4,0))</f>
        <v>0</v>
      </c>
      <c r="I221" s="217" t="str">
        <f ca="1">IF(ISERROR($V221),"",OFFSET('Smelter Look-up'!$H$4,$V221-4,0))</f>
        <v>Onehunga</v>
      </c>
      <c r="J221" s="217" t="str">
        <f ca="1">IF(ISERROR($V221),"",OFFSET('Smelter Look-up'!$I$4,$V221-4,0))</f>
        <v>Auckland</v>
      </c>
      <c r="K221" s="268"/>
      <c r="L221" s="268"/>
      <c r="M221" s="268"/>
      <c r="N221" s="268"/>
      <c r="O221" s="268"/>
      <c r="P221" s="218"/>
      <c r="Q221" s="269"/>
      <c r="R221" s="215" t="str">
        <f ca="1">IF(ISERROR($V221),"",OFFSET('Smelter Look-up'!$C$4,$V221-4,0)&amp;"")</f>
        <v>Morris and Watson</v>
      </c>
      <c r="S221" s="222" t="str">
        <f t="shared" ca="1" si="30"/>
        <v>NZ</v>
      </c>
      <c r="T221" s="222" t="str">
        <f ca="1">IF(B221="","",IF(ISERROR(MATCH($J221,SorP!$B$1:$B$6230,0)),"",INDIRECT("'SorP'!$A$"&amp;MATCH($J221,SorP!$B$1:$B$6230,0))))</f>
        <v>NZ-AUK</v>
      </c>
      <c r="U221" s="238"/>
      <c r="V221" s="270">
        <f ca="1">IF(C221="",NA(),MATCH($B221&amp;$C221,'Smelter Look-up'!$J:$J,0))</f>
        <v>182</v>
      </c>
      <c r="W221" s="271"/>
      <c r="X221" s="271">
        <f t="shared" ca="1" si="31"/>
        <v>0</v>
      </c>
      <c r="Y221" s="271"/>
      <c r="Z221" s="271"/>
      <c r="AB221" s="273" t="str">
        <f t="shared" ca="1" si="32"/>
        <v>GoldMorris and Watson</v>
      </c>
    </row>
    <row r="222" spans="1:28" s="272" customFormat="1" ht="25.5">
      <c r="A222" s="214" t="s">
        <v>2344</v>
      </c>
      <c r="B222" s="215" t="str">
        <f ca="1">IF(LEN(A222)=0,"",INDEX('Smelter Look-up'!$A:$A,MATCH($A222,'Smelter Look-up'!$E:$E,0)))</f>
        <v>Gold</v>
      </c>
      <c r="C222" s="219" t="str">
        <f ca="1">IF(LEN(A222)=0,"",INDEX('Smelter Look-up'!$C:$C,MATCH($A222,'Smelter Look-up'!$E:$E,0)))</f>
        <v>SAFINA A.S.</v>
      </c>
      <c r="D222" s="278"/>
      <c r="E222" s="215" t="str">
        <f ca="1">IF(ISERROR($V222),"",OFFSET('Smelter Look-up'!$D$4,$V222-4,0)&amp;"")</f>
        <v>CZECHIA</v>
      </c>
      <c r="F222" s="215" t="str">
        <f ca="1">IF(ISERROR($V222),"",OFFSET('Smelter Look-up'!$E$4,$V222-4,0))</f>
        <v>CID002290</v>
      </c>
      <c r="G222" s="215" t="str">
        <f ca="1">IF(C222=$X$4,"Enter smelter details",IF(ISERROR($V222),"",OFFSET('Smelter Look-up'!$F$4,$V222-4,0)))</f>
        <v>RMI</v>
      </c>
      <c r="H222" s="216">
        <f ca="1">IF(ISERROR($V222),"",OFFSET('Smelter Look-up'!$G$4,$V222-4,0))</f>
        <v>0</v>
      </c>
      <c r="I222" s="217" t="str">
        <f ca="1">IF(ISERROR($V222),"",OFFSET('Smelter Look-up'!$H$4,$V222-4,0))</f>
        <v>Vestec</v>
      </c>
      <c r="J222" s="217" t="str">
        <f ca="1">IF(ISERROR($V222),"",OFFSET('Smelter Look-up'!$I$4,$V222-4,0))</f>
        <v>Praha-západ</v>
      </c>
      <c r="K222" s="268"/>
      <c r="L222" s="268"/>
      <c r="M222" s="268"/>
      <c r="N222" s="268"/>
      <c r="O222" s="268"/>
      <c r="P222" s="218"/>
      <c r="Q222" s="269"/>
      <c r="R222" s="215" t="str">
        <f ca="1">IF(ISERROR($V222),"",OFFSET('Smelter Look-up'!$C$4,$V222-4,0)&amp;"")</f>
        <v>SAFINA A.S.</v>
      </c>
      <c r="S222" s="222" t="str">
        <f t="shared" ca="1" si="30"/>
        <v>CZ</v>
      </c>
      <c r="T222" s="222" t="str">
        <f ca="1">IF(B222="","",IF(ISERROR(MATCH($J222,SorP!$B$1:$B$6230,0)),"",INDIRECT("'SorP'!$A$"&amp;MATCH($J222,SorP!$B$1:$B$6230,0))))</f>
        <v>CZ-20A</v>
      </c>
      <c r="U222" s="238"/>
      <c r="V222" s="270">
        <f ca="1">IF(C222="",NA(),MATCH($B222&amp;$C222,'Smelter Look-up'!$J:$J,0))</f>
        <v>219</v>
      </c>
      <c r="W222" s="271"/>
      <c r="X222" s="271">
        <f t="shared" ca="1" si="31"/>
        <v>0</v>
      </c>
      <c r="Y222" s="271"/>
      <c r="Z222" s="271"/>
      <c r="AB222" s="273" t="str">
        <f t="shared" ca="1" si="32"/>
        <v>GoldSAFINA A.S.</v>
      </c>
    </row>
    <row r="223" spans="1:28" s="272" customFormat="1" ht="25.5">
      <c r="A223" s="214" t="s">
        <v>1722</v>
      </c>
      <c r="B223" s="215" t="str">
        <f ca="1">IF(LEN(A223)=0,"",INDEX('Smelter Look-up'!$A:$A,MATCH($A223,'Smelter Look-up'!$E:$E,0)))</f>
        <v>Gold</v>
      </c>
      <c r="C223" s="219" t="str">
        <f ca="1">IF(LEN(A223)=0,"",INDEX('Smelter Look-up'!$C:$C,MATCH($A223,'Smelter Look-up'!$E:$E,0)))</f>
        <v>T.C.A S.p.A</v>
      </c>
      <c r="D223" s="278"/>
      <c r="E223" s="215" t="str">
        <f ca="1">IF(ISERROR($V223),"",OFFSET('Smelter Look-up'!$D$4,$V223-4,0)&amp;"")</f>
        <v>ITALY</v>
      </c>
      <c r="F223" s="215" t="str">
        <f ca="1">IF(ISERROR($V223),"",OFFSET('Smelter Look-up'!$E$4,$V223-4,0))</f>
        <v>CID002580</v>
      </c>
      <c r="G223" s="215" t="str">
        <f ca="1">IF(C223=$X$4,"Enter smelter details",IF(ISERROR($V223),"",OFFSET('Smelter Look-up'!$F$4,$V223-4,0)))</f>
        <v>RMI</v>
      </c>
      <c r="H223" s="216">
        <f ca="1">IF(ISERROR($V223),"",OFFSET('Smelter Look-up'!$G$4,$V223-4,0))</f>
        <v>0</v>
      </c>
      <c r="I223" s="217" t="str">
        <f ca="1">IF(ISERROR($V223),"",OFFSET('Smelter Look-up'!$H$4,$V223-4,0))</f>
        <v>Capolona</v>
      </c>
      <c r="J223" s="217" t="str">
        <f ca="1">IF(ISERROR($V223),"",OFFSET('Smelter Look-up'!$I$4,$V223-4,0))</f>
        <v>Toscana</v>
      </c>
      <c r="K223" s="268"/>
      <c r="L223" s="268"/>
      <c r="M223" s="268"/>
      <c r="N223" s="268"/>
      <c r="O223" s="268"/>
      <c r="P223" s="218"/>
      <c r="Q223" s="269"/>
      <c r="R223" s="215" t="str">
        <f ca="1">IF(ISERROR($V223),"",OFFSET('Smelter Look-up'!$C$4,$V223-4,0)&amp;"")</f>
        <v>T.C.A S.p.A</v>
      </c>
      <c r="S223" s="222" t="str">
        <f t="shared" ca="1" si="30"/>
        <v>IT</v>
      </c>
      <c r="T223" s="222" t="str">
        <f ca="1">IF(B223="","",IF(ISERROR(MATCH($J223,SorP!$B$1:$B$6230,0)),"",INDIRECT("'SorP'!$A$"&amp;MATCH($J223,SorP!$B$1:$B$6230,0))))</f>
        <v>IT-52</v>
      </c>
      <c r="U223" s="238"/>
      <c r="V223" s="270">
        <f ca="1">IF(C223="",NA(),MATCH($B223&amp;$C223,'Smelter Look-up'!$J:$J,0))</f>
        <v>262</v>
      </c>
      <c r="W223" s="271"/>
      <c r="X223" s="271">
        <f t="shared" ca="1" si="31"/>
        <v>0</v>
      </c>
      <c r="Y223" s="271"/>
      <c r="Z223" s="271"/>
      <c r="AB223" s="273" t="str">
        <f t="shared" ca="1" si="32"/>
        <v>GoldT.C.A S.p.A</v>
      </c>
    </row>
    <row r="224" spans="1:28" s="272" customFormat="1" ht="89.25">
      <c r="A224" s="214" t="s">
        <v>15389</v>
      </c>
      <c r="B224" s="215" t="str">
        <f ca="1">IF(LEN(A224)=0,"",INDEX('Smelter Look-up'!$A:$A,MATCH($A224,'Smelter Look-up'!$E:$E,0)))</f>
        <v>Tin</v>
      </c>
      <c r="C224" s="219" t="str">
        <f ca="1">IF(LEN(A224)=0,"",INDEX('Smelter Look-up'!$C:$C,MATCH($A224,'Smelter Look-up'!$E:$E,0)))</f>
        <v>Gejiu Fengming Metallurgy Chemical Plant</v>
      </c>
      <c r="D224" s="278"/>
      <c r="E224" s="215" t="str">
        <f ca="1">IF(ISERROR($V224),"",OFFSET('Smelter Look-up'!$D$4,$V224-4,0)&amp;"")</f>
        <v>CHINA</v>
      </c>
      <c r="F224" s="215" t="str">
        <f ca="1">IF(ISERROR($V224),"",OFFSET('Smelter Look-up'!$E$4,$V224-4,0))</f>
        <v>CID002848</v>
      </c>
      <c r="G224" s="215" t="str">
        <f ca="1">IF(C224=$X$4,"Enter smelter details",IF(ISERROR($V224),"",OFFSET('Smelter Look-up'!$F$4,$V224-4,0)))</f>
        <v>RMI</v>
      </c>
      <c r="H224" s="216">
        <f ca="1">IF(ISERROR($V224),"",OFFSET('Smelter Look-up'!$G$4,$V224-4,0))</f>
        <v>0</v>
      </c>
      <c r="I224" s="217" t="str">
        <f ca="1">IF(ISERROR($V224),"",OFFSET('Smelter Look-up'!$H$4,$V224-4,0))</f>
        <v>Gejiu</v>
      </c>
      <c r="J224" s="217" t="str">
        <f ca="1">IF(ISERROR($V224),"",OFFSET('Smelter Look-up'!$I$4,$V224-4,0))</f>
        <v>Yunnan Sheng</v>
      </c>
      <c r="K224" s="268"/>
      <c r="L224" s="268"/>
      <c r="M224" s="268"/>
      <c r="N224" s="268"/>
      <c r="O224" s="268"/>
      <c r="P224" s="218"/>
      <c r="Q224" s="269"/>
      <c r="R224" s="215" t="str">
        <f ca="1">IF(ISERROR($V224),"",OFFSET('Smelter Look-up'!$C$4,$V224-4,0)&amp;"")</f>
        <v>Gejiu Fengming Metallurgy Chemical Plant</v>
      </c>
      <c r="S224" s="222" t="str">
        <f t="shared" ca="1" si="30"/>
        <v>CN</v>
      </c>
      <c r="T224" s="222" t="str">
        <f ca="1">IF(B224="","",IF(ISERROR(MATCH($J224,SorP!$B$1:$B$6230,0)),"",INDIRECT("'SorP'!$A$"&amp;MATCH($J224,SorP!$B$1:$B$6230,0))))</f>
        <v>CN-YN</v>
      </c>
      <c r="U224" s="238"/>
      <c r="V224" s="270">
        <f ca="1">IF(C224="",NA(),MATCH($B224&amp;$C224,'Smelter Look-up'!$J:$J,0))</f>
        <v>425</v>
      </c>
      <c r="W224" s="271"/>
      <c r="X224" s="271">
        <f t="shared" ca="1" si="31"/>
        <v>0</v>
      </c>
      <c r="Y224" s="271"/>
      <c r="Z224" s="271"/>
      <c r="AB224" s="273" t="str">
        <f t="shared" ca="1" si="32"/>
        <v>TinGejiu Fengming Metallurgy Chemical Plant</v>
      </c>
    </row>
    <row r="225" spans="1:28" s="272" customFormat="1" ht="51">
      <c r="A225" s="214" t="s">
        <v>14105</v>
      </c>
      <c r="B225" s="215" t="str">
        <f ca="1">IF(LEN(A225)=0,"",INDEX('Smelter Look-up'!$A:$A,MATCH($A225,'Smelter Look-up'!$E:$E,0)))</f>
        <v>Gold</v>
      </c>
      <c r="C225" s="219" t="str">
        <f ca="1">IF(LEN(A225)=0,"",INDEX('Smelter Look-up'!$C:$C,MATCH($A225,'Smelter Look-up'!$E:$E,0)))</f>
        <v>JALAN &amp; Company</v>
      </c>
      <c r="D225" s="278"/>
      <c r="E225" s="215" t="str">
        <f ca="1">IF(ISERROR($V225),"",OFFSET('Smelter Look-up'!$D$4,$V225-4,0)&amp;"")</f>
        <v>INDIA</v>
      </c>
      <c r="F225" s="215" t="str">
        <f ca="1">IF(ISERROR($V225),"",OFFSET('Smelter Look-up'!$E$4,$V225-4,0))</f>
        <v>CID002893</v>
      </c>
      <c r="G225" s="215" t="str">
        <f ca="1">IF(C225=$X$4,"Enter smelter details",IF(ISERROR($V225),"",OFFSET('Smelter Look-up'!$F$4,$V225-4,0)))</f>
        <v>RMI</v>
      </c>
      <c r="H225" s="216">
        <f ca="1">IF(ISERROR($V225),"",OFFSET('Smelter Look-up'!$G$4,$V225-4,0))</f>
        <v>0</v>
      </c>
      <c r="I225" s="217" t="str">
        <f ca="1">IF(ISERROR($V225),"",OFFSET('Smelter Look-up'!$H$4,$V225-4,0))</f>
        <v>New Delhi</v>
      </c>
      <c r="J225" s="217" t="str">
        <f ca="1">IF(ISERROR($V225),"",OFFSET('Smelter Look-up'!$I$4,$V225-4,0))</f>
        <v>Delhi</v>
      </c>
      <c r="K225" s="268"/>
      <c r="L225" s="268"/>
      <c r="M225" s="268"/>
      <c r="N225" s="268"/>
      <c r="O225" s="268"/>
      <c r="P225" s="218"/>
      <c r="Q225" s="269"/>
      <c r="R225" s="215" t="str">
        <f ca="1">IF(ISERROR($V225),"",OFFSET('Smelter Look-up'!$C$4,$V225-4,0)&amp;"")</f>
        <v>JALAN &amp; Company</v>
      </c>
      <c r="S225" s="222" t="str">
        <f t="shared" ca="1" si="30"/>
        <v>IN</v>
      </c>
      <c r="T225" s="222" t="str">
        <f ca="1">IF(B225="","",IF(ISERROR(MATCH($J225,SorP!$B$1:$B$6230,0)),"",INDIRECT("'SorP'!$A$"&amp;MATCH($J225,SorP!$B$1:$B$6230,0))))</f>
        <v>IN-DL</v>
      </c>
      <c r="U225" s="238"/>
      <c r="V225" s="270">
        <f ca="1">IF(C225="",NA(),MATCH($B225&amp;$C225,'Smelter Look-up'!$J:$J,0))</f>
        <v>117</v>
      </c>
      <c r="W225" s="271"/>
      <c r="X225" s="271">
        <f t="shared" ca="1" si="31"/>
        <v>0</v>
      </c>
      <c r="Y225" s="271"/>
      <c r="Z225" s="271"/>
      <c r="AB225" s="273" t="str">
        <f t="shared" ca="1" si="32"/>
        <v>GoldJALAN &amp; Company</v>
      </c>
    </row>
    <row r="226" spans="1:28" s="272" customFormat="1" ht="51">
      <c r="A226" s="214" t="s">
        <v>2313</v>
      </c>
      <c r="B226" s="215" t="str">
        <f ca="1">IF(LEN(A226)=0,"",INDEX('Smelter Look-up'!$A:$A,MATCH($A226,'Smelter Look-up'!$E:$E,0)))</f>
        <v>Gold</v>
      </c>
      <c r="C226" s="219" t="str">
        <f ca="1">IF(LEN(A226)=0,"",INDEX('Smelter Look-up'!$C:$C,MATCH($A226,'Smelter Look-up'!$E:$E,0)))</f>
        <v>AU Traders and Refiners</v>
      </c>
      <c r="D226" s="278"/>
      <c r="E226" s="215" t="str">
        <f ca="1">IF(ISERROR($V226),"",OFFSET('Smelter Look-up'!$D$4,$V226-4,0)&amp;"")</f>
        <v>SOUTH AFRICA</v>
      </c>
      <c r="F226" s="215" t="str">
        <f ca="1">IF(ISERROR($V226),"",OFFSET('Smelter Look-up'!$E$4,$V226-4,0))</f>
        <v>CID002850</v>
      </c>
      <c r="G226" s="215" t="str">
        <f ca="1">IF(C226=$X$4,"Enter smelter details",IF(ISERROR($V226),"",OFFSET('Smelter Look-up'!$F$4,$V226-4,0)))</f>
        <v>RMI</v>
      </c>
      <c r="H226" s="216">
        <f ca="1">IF(ISERROR($V226),"",OFFSET('Smelter Look-up'!$G$4,$V226-4,0))</f>
        <v>0</v>
      </c>
      <c r="I226" s="217" t="str">
        <f ca="1">IF(ISERROR($V226),"",OFFSET('Smelter Look-up'!$H$4,$V226-4,0))</f>
        <v>Johannesburg</v>
      </c>
      <c r="J226" s="217" t="str">
        <f ca="1">IF(ISERROR($V226),"",OFFSET('Smelter Look-up'!$I$4,$V226-4,0))</f>
        <v>Gauteng</v>
      </c>
      <c r="K226" s="268"/>
      <c r="L226" s="268"/>
      <c r="M226" s="268"/>
      <c r="N226" s="268"/>
      <c r="O226" s="268"/>
      <c r="P226" s="218"/>
      <c r="Q226" s="269"/>
      <c r="R226" s="215" t="str">
        <f ca="1">IF(ISERROR($V226),"",OFFSET('Smelter Look-up'!$C$4,$V226-4,0)&amp;"")</f>
        <v>AU Traders and Refiners</v>
      </c>
      <c r="S226" s="222" t="str">
        <f t="shared" ca="1" si="30"/>
        <v>ZA</v>
      </c>
      <c r="T226" s="222" t="str">
        <f ca="1">IF(B226="","",IF(ISERROR(MATCH($J226,SorP!$B$1:$B$6230,0)),"",INDIRECT("'SorP'!$A$"&amp;MATCH($J226,SorP!$B$1:$B$6230,0))))</f>
        <v>ZA-GT</v>
      </c>
      <c r="U226" s="238"/>
      <c r="V226" s="270">
        <f ca="1">IF(C226="",NA(),MATCH($B226&amp;$C226,'Smelter Look-up'!$J:$J,0))</f>
        <v>32</v>
      </c>
      <c r="W226" s="271"/>
      <c r="X226" s="271">
        <f t="shared" ca="1" si="31"/>
        <v>0</v>
      </c>
      <c r="Y226" s="271"/>
      <c r="Z226" s="271"/>
      <c r="AB226" s="273" t="str">
        <f t="shared" ca="1" si="32"/>
        <v>GoldAU Traders and Refiners</v>
      </c>
    </row>
    <row r="227" spans="1:28" s="272" customFormat="1" ht="76.5">
      <c r="A227" s="214" t="s">
        <v>14100</v>
      </c>
      <c r="B227" s="215" t="str">
        <f ca="1">IF(LEN(A227)=0,"",INDEX('Smelter Look-up'!$A:$A,MATCH($A227,'Smelter Look-up'!$E:$E,0)))</f>
        <v>Gold</v>
      </c>
      <c r="C227" s="219" t="str">
        <f ca="1">IF(LEN(A227)=0,"",INDEX('Smelter Look-up'!$C:$C,MATCH($A227,'Smelter Look-up'!$E:$E,0)))</f>
        <v>Augmont Enterprises Private Limited</v>
      </c>
      <c r="D227" s="278"/>
      <c r="E227" s="215" t="str">
        <f ca="1">IF(ISERROR($V227),"",OFFSET('Smelter Look-up'!$D$4,$V227-4,0)&amp;"")</f>
        <v>INDIA</v>
      </c>
      <c r="F227" s="215" t="str">
        <f ca="1">IF(ISERROR($V227),"",OFFSET('Smelter Look-up'!$E$4,$V227-4,0))</f>
        <v>CID003461</v>
      </c>
      <c r="G227" s="215" t="str">
        <f ca="1">IF(C227=$X$4,"Enter smelter details",IF(ISERROR($V227),"",OFFSET('Smelter Look-up'!$F$4,$V227-4,0)))</f>
        <v>RMI</v>
      </c>
      <c r="H227" s="216">
        <f ca="1">IF(ISERROR($V227),"",OFFSET('Smelter Look-up'!$G$4,$V227-4,0))</f>
        <v>0</v>
      </c>
      <c r="I227" s="217" t="str">
        <f ca="1">IF(ISERROR($V227),"",OFFSET('Smelter Look-up'!$H$4,$V227-4,0))</f>
        <v>Mumbai</v>
      </c>
      <c r="J227" s="217" t="str">
        <f ca="1">IF(ISERROR($V227),"",OFFSET('Smelter Look-up'!$I$4,$V227-4,0))</f>
        <v>Maharashtra</v>
      </c>
      <c r="K227" s="268"/>
      <c r="L227" s="268"/>
      <c r="M227" s="268"/>
      <c r="N227" s="268"/>
      <c r="O227" s="268"/>
      <c r="P227" s="218"/>
      <c r="Q227" s="269"/>
      <c r="R227" s="215" t="str">
        <f ca="1">IF(ISERROR($V227),"",OFFSET('Smelter Look-up'!$C$4,$V227-4,0)&amp;"")</f>
        <v>Augmont Enterprises Private Limited</v>
      </c>
      <c r="S227" s="222" t="str">
        <f t="shared" ca="1" si="30"/>
        <v>IN</v>
      </c>
      <c r="T227" s="222" t="str">
        <f ca="1">IF(B227="","",IF(ISERROR(MATCH($J227,SorP!$B$1:$B$6230,0)),"",INDIRECT("'SorP'!$A$"&amp;MATCH($J227,SorP!$B$1:$B$6230,0))))</f>
        <v>IN-MH</v>
      </c>
      <c r="U227" s="238"/>
      <c r="V227" s="270">
        <f ca="1">IF(C227="",NA(),MATCH($B227&amp;$C227,'Smelter Look-up'!$J:$J,0))</f>
        <v>33</v>
      </c>
      <c r="W227" s="271"/>
      <c r="X227" s="271">
        <f t="shared" ca="1" si="31"/>
        <v>0</v>
      </c>
      <c r="Y227" s="271"/>
      <c r="Z227" s="271"/>
      <c r="AB227" s="273" t="str">
        <f t="shared" ca="1" si="32"/>
        <v>GoldAugmont Enterprises Private Limited</v>
      </c>
    </row>
    <row r="228" spans="1:28" s="272" customFormat="1" ht="38.25">
      <c r="A228" s="214" t="s">
        <v>2317</v>
      </c>
      <c r="B228" s="215" t="str">
        <f ca="1">IF(LEN(A228)=0,"",INDEX('Smelter Look-up'!$A:$A,MATCH($A228,'Smelter Look-up'!$E:$E,0)))</f>
        <v>Gold</v>
      </c>
      <c r="C228" s="219" t="str">
        <f ca="1">IF(LEN(A228)=0,"",INDEX('Smelter Look-up'!$C:$C,MATCH($A228,'Smelter Look-up'!$E:$E,0)))</f>
        <v>Bangalore Refinery</v>
      </c>
      <c r="D228" s="278"/>
      <c r="E228" s="215" t="str">
        <f ca="1">IF(ISERROR($V228),"",OFFSET('Smelter Look-up'!$D$4,$V228-4,0)&amp;"")</f>
        <v>INDIA</v>
      </c>
      <c r="F228" s="215" t="str">
        <f ca="1">IF(ISERROR($V228),"",OFFSET('Smelter Look-up'!$E$4,$V228-4,0))</f>
        <v>CID002863</v>
      </c>
      <c r="G228" s="215" t="str">
        <f ca="1">IF(C228=$X$4,"Enter smelter details",IF(ISERROR($V228),"",OFFSET('Smelter Look-up'!$F$4,$V228-4,0)))</f>
        <v>RMI</v>
      </c>
      <c r="H228" s="216">
        <f ca="1">IF(ISERROR($V228),"",OFFSET('Smelter Look-up'!$G$4,$V228-4,0))</f>
        <v>0</v>
      </c>
      <c r="I228" s="217" t="str">
        <f ca="1">IF(ISERROR($V228),"",OFFSET('Smelter Look-up'!$H$4,$V228-4,0))</f>
        <v>Bangalore</v>
      </c>
      <c r="J228" s="217" t="str">
        <f ca="1">IF(ISERROR($V228),"",OFFSET('Smelter Look-up'!$I$4,$V228-4,0))</f>
        <v>Karnataka</v>
      </c>
      <c r="K228" s="268"/>
      <c r="L228" s="268"/>
      <c r="M228" s="268"/>
      <c r="N228" s="268"/>
      <c r="O228" s="268"/>
      <c r="P228" s="218"/>
      <c r="Q228" s="269"/>
      <c r="R228" s="215" t="str">
        <f ca="1">IF(ISERROR($V228),"",OFFSET('Smelter Look-up'!$C$4,$V228-4,0)&amp;"")</f>
        <v>Bangalore Refinery</v>
      </c>
      <c r="S228" s="222" t="str">
        <f t="shared" ca="1" si="30"/>
        <v>IN</v>
      </c>
      <c r="T228" s="222" t="str">
        <f ca="1">IF(B228="","",IF(ISERROR(MATCH($J228,SorP!$B$1:$B$6230,0)),"",INDIRECT("'SorP'!$A$"&amp;MATCH($J228,SorP!$B$1:$B$6230,0))))</f>
        <v>IN-KA</v>
      </c>
      <c r="U228" s="238"/>
      <c r="V228" s="270">
        <f ca="1">IF(C228="",NA(),MATCH($B228&amp;$C228,'Smelter Look-up'!$J:$J,0))</f>
        <v>36</v>
      </c>
      <c r="W228" s="271"/>
      <c r="X228" s="271">
        <f t="shared" ca="1" si="31"/>
        <v>0</v>
      </c>
      <c r="Y228" s="271"/>
      <c r="Z228" s="271"/>
      <c r="AB228" s="273" t="str">
        <f t="shared" ca="1" si="32"/>
        <v>GoldBangalore Refinery</v>
      </c>
    </row>
    <row r="229" spans="1:28" s="272" customFormat="1" ht="63.75">
      <c r="A229" s="214" t="s">
        <v>14106</v>
      </c>
      <c r="B229" s="215" t="str">
        <f ca="1">IF(LEN(A229)=0,"",INDEX('Smelter Look-up'!$A:$A,MATCH($A229,'Smelter Look-up'!$E:$E,0)))</f>
        <v>Gold</v>
      </c>
      <c r="C229" s="219" t="str">
        <f ca="1">IF(LEN(A229)=0,"",INDEX('Smelter Look-up'!$C:$C,MATCH($A229,'Smelter Look-up'!$E:$E,0)))</f>
        <v>Kundan Care Products Ltd.</v>
      </c>
      <c r="D229" s="278"/>
      <c r="E229" s="215" t="str">
        <f ca="1">IF(ISERROR($V229),"",OFFSET('Smelter Look-up'!$D$4,$V229-4,0)&amp;"")</f>
        <v>INDIA</v>
      </c>
      <c r="F229" s="215" t="str">
        <f ca="1">IF(ISERROR($V229),"",OFFSET('Smelter Look-up'!$E$4,$V229-4,0))</f>
        <v>CID003463</v>
      </c>
      <c r="G229" s="215" t="str">
        <f ca="1">IF(C229=$X$4,"Enter smelter details",IF(ISERROR($V229),"",OFFSET('Smelter Look-up'!$F$4,$V229-4,0)))</f>
        <v>RMI</v>
      </c>
      <c r="H229" s="216">
        <f ca="1">IF(ISERROR($V229),"",OFFSET('Smelter Look-up'!$G$4,$V229-4,0))</f>
        <v>0</v>
      </c>
      <c r="I229" s="217" t="str">
        <f ca="1">IF(ISERROR($V229),"",OFFSET('Smelter Look-up'!$H$4,$V229-4,0))</f>
        <v>Haridwar</v>
      </c>
      <c r="J229" s="217" t="str">
        <f ca="1">IF(ISERROR($V229),"",OFFSET('Smelter Look-up'!$I$4,$V229-4,0))</f>
        <v>Uttarakhand</v>
      </c>
      <c r="K229" s="268"/>
      <c r="L229" s="268"/>
      <c r="M229" s="268"/>
      <c r="N229" s="268"/>
      <c r="O229" s="268"/>
      <c r="P229" s="218"/>
      <c r="Q229" s="269"/>
      <c r="R229" s="215" t="str">
        <f ca="1">IF(ISERROR($V229),"",OFFSET('Smelter Look-up'!$C$4,$V229-4,0)&amp;"")</f>
        <v>Kundan Care Products Ltd.</v>
      </c>
      <c r="S229" s="222" t="str">
        <f t="shared" ref="S229:S259" ca="1" si="33">IF(B229="","",IF(ISERROR(MATCH($E229,CL,0)),"Unknown",INDIRECT("'C'!$A$"&amp;MATCH($E229,CL,0)+1)))</f>
        <v>IN</v>
      </c>
      <c r="T229" s="222" t="str">
        <f ca="1">IF(B229="","",IF(ISERROR(MATCH($J229,SorP!$B$1:$B$6230,0)),"",INDIRECT("'SorP'!$A$"&amp;MATCH($J229,SorP!$B$1:$B$6230,0))))</f>
        <v>IN-UT</v>
      </c>
      <c r="U229" s="238"/>
      <c r="V229" s="270">
        <f ca="1">IF(C229="",NA(),MATCH($B229&amp;$C229,'Smelter Look-up'!$J:$J,0))</f>
        <v>143</v>
      </c>
      <c r="W229" s="271"/>
      <c r="X229" s="271">
        <f t="shared" ref="X229:X259" ca="1" si="34">IF(AND(C229="Smelter not listed",OR(LEN(D229)=0,LEN(E229)=0)),1,0)</f>
        <v>0</v>
      </c>
      <c r="Y229" s="271"/>
      <c r="Z229" s="271"/>
      <c r="AB229" s="273" t="str">
        <f t="shared" ref="AB229:AB259" ca="1" si="35">B229&amp;C229</f>
        <v>GoldKundan Care Products Ltd.</v>
      </c>
    </row>
    <row r="230" spans="1:28" s="272" customFormat="1" ht="38.25">
      <c r="A230" s="214" t="s">
        <v>15373</v>
      </c>
      <c r="B230" s="215" t="str">
        <f ca="1">IF(LEN(A230)=0,"",INDEX('Smelter Look-up'!$A:$A,MATCH($A230,'Smelter Look-up'!$E:$E,0)))</f>
        <v>Tin</v>
      </c>
      <c r="C230" s="219" t="str">
        <f ca="1">IF(LEN(A230)=0,"",INDEX('Smelter Look-up'!$C:$C,MATCH($A230,'Smelter Look-up'!$E:$E,0)))</f>
        <v>CRM Synergies</v>
      </c>
      <c r="D230" s="278"/>
      <c r="E230" s="215" t="str">
        <f ca="1">IF(ISERROR($V230),"",OFFSET('Smelter Look-up'!$D$4,$V230-4,0)&amp;"")</f>
        <v>SPAIN</v>
      </c>
      <c r="F230" s="215" t="str">
        <f ca="1">IF(ISERROR($V230),"",OFFSET('Smelter Look-up'!$E$4,$V230-4,0))</f>
        <v>CID003524</v>
      </c>
      <c r="G230" s="215" t="str">
        <f ca="1">IF(C230=$X$4,"Enter smelter details",IF(ISERROR($V230),"",OFFSET('Smelter Look-up'!$F$4,$V230-4,0)))</f>
        <v>RMI</v>
      </c>
      <c r="H230" s="216">
        <f ca="1">IF(ISERROR($V230),"",OFFSET('Smelter Look-up'!$G$4,$V230-4,0))</f>
        <v>0</v>
      </c>
      <c r="I230" s="217" t="str">
        <f ca="1">IF(ISERROR($V230),"",OFFSET('Smelter Look-up'!$H$4,$V230-4,0))</f>
        <v>Toledo</v>
      </c>
      <c r="J230" s="217" t="str">
        <f ca="1">IF(ISERROR($V230),"",OFFSET('Smelter Look-up'!$I$4,$V230-4,0))</f>
        <v>Toledo</v>
      </c>
      <c r="K230" s="268"/>
      <c r="L230" s="268"/>
      <c r="M230" s="268"/>
      <c r="N230" s="268"/>
      <c r="O230" s="268"/>
      <c r="P230" s="218"/>
      <c r="Q230" s="269"/>
      <c r="R230" s="215" t="str">
        <f ca="1">IF(ISERROR($V230),"",OFFSET('Smelter Look-up'!$C$4,$V230-4,0)&amp;"")</f>
        <v>CRM Synergies</v>
      </c>
      <c r="S230" s="222" t="str">
        <f t="shared" ca="1" si="33"/>
        <v>ES</v>
      </c>
      <c r="T230" s="222" t="str">
        <f ca="1">IF(B230="","",IF(ISERROR(MATCH($J230,SorP!$B$1:$B$6230,0)),"",INDIRECT("'SorP'!$A$"&amp;MATCH($J230,SorP!$B$1:$B$6230,0))))</f>
        <v>BZ-TOL</v>
      </c>
      <c r="U230" s="238"/>
      <c r="V230" s="270">
        <f ca="1">IF(C230="",NA(),MATCH($B230&amp;$C230,'Smelter Look-up'!$J:$J,0))</f>
        <v>403</v>
      </c>
      <c r="W230" s="271"/>
      <c r="X230" s="271">
        <f t="shared" ca="1" si="34"/>
        <v>0</v>
      </c>
      <c r="Y230" s="271"/>
      <c r="Z230" s="271"/>
      <c r="AB230" s="273" t="str">
        <f t="shared" ca="1" si="35"/>
        <v>TinCRM Synergies</v>
      </c>
    </row>
    <row r="231" spans="1:28" s="272" customFormat="1" ht="38.25">
      <c r="A231" s="214" t="s">
        <v>15341</v>
      </c>
      <c r="B231" s="215" t="str">
        <f ca="1">IF(LEN(A231)=0,"",INDEX('Smelter Look-up'!$A:$A,MATCH($A231,'Smelter Look-up'!$E:$E,0)))</f>
        <v>Gold</v>
      </c>
      <c r="C231" s="219" t="str">
        <f ca="1">IF(LEN(A231)=0,"",INDEX('Smelter Look-up'!$C:$C,MATCH($A231,'Smelter Look-up'!$E:$E,0)))</f>
        <v>MD Overseas</v>
      </c>
      <c r="D231" s="278"/>
      <c r="E231" s="215" t="str">
        <f ca="1">IF(ISERROR($V231),"",OFFSET('Smelter Look-up'!$D$4,$V231-4,0)&amp;"")</f>
        <v>INDIA</v>
      </c>
      <c r="F231" s="215" t="str">
        <f ca="1">IF(ISERROR($V231),"",OFFSET('Smelter Look-up'!$E$4,$V231-4,0))</f>
        <v>CID003548</v>
      </c>
      <c r="G231" s="215" t="str">
        <f ca="1">IF(C231=$X$4,"Enter smelter details",IF(ISERROR($V231),"",OFFSET('Smelter Look-up'!$F$4,$V231-4,0)))</f>
        <v>RMI</v>
      </c>
      <c r="H231" s="216">
        <f ca="1">IF(ISERROR($V231),"",OFFSET('Smelter Look-up'!$G$4,$V231-4,0))</f>
        <v>0</v>
      </c>
      <c r="I231" s="217" t="str">
        <f ca="1">IF(ISERROR($V231),"",OFFSET('Smelter Look-up'!$H$4,$V231-4,0))</f>
        <v>Rudrapur</v>
      </c>
      <c r="J231" s="217" t="str">
        <f ca="1">IF(ISERROR($V231),"",OFFSET('Smelter Look-up'!$I$4,$V231-4,0))</f>
        <v>Uttarakhand</v>
      </c>
      <c r="K231" s="268"/>
      <c r="L231" s="268"/>
      <c r="M231" s="268"/>
      <c r="N231" s="268"/>
      <c r="O231" s="268"/>
      <c r="P231" s="218"/>
      <c r="Q231" s="269"/>
      <c r="R231" s="215" t="str">
        <f ca="1">IF(ISERROR($V231),"",OFFSET('Smelter Look-up'!$C$4,$V231-4,0)&amp;"")</f>
        <v>MD Overseas</v>
      </c>
      <c r="S231" s="222" t="str">
        <f t="shared" ca="1" si="33"/>
        <v>IN</v>
      </c>
      <c r="T231" s="222" t="str">
        <f ca="1">IF(B231="","",IF(ISERROR(MATCH($J231,SorP!$B$1:$B$6230,0)),"",INDIRECT("'SorP'!$A$"&amp;MATCH($J231,SorP!$B$1:$B$6230,0))))</f>
        <v>IN-UT</v>
      </c>
      <c r="U231" s="238"/>
      <c r="V231" s="270">
        <f ca="1">IF(C231="",NA(),MATCH($B231&amp;$C231,'Smelter Look-up'!$J:$J,0))</f>
        <v>161</v>
      </c>
      <c r="W231" s="271"/>
      <c r="X231" s="271">
        <f t="shared" ca="1" si="34"/>
        <v>0</v>
      </c>
      <c r="Y231" s="271"/>
      <c r="Z231" s="271"/>
      <c r="AB231" s="273" t="str">
        <f t="shared" ca="1" si="35"/>
        <v>GoldMD Overseas</v>
      </c>
    </row>
    <row r="232" spans="1:28" s="272" customFormat="1" ht="63.75">
      <c r="A232" s="214" t="s">
        <v>15396</v>
      </c>
      <c r="B232" s="215" t="str">
        <f ca="1">IF(LEN(A232)=0,"",INDEX('Smelter Look-up'!$A:$A,MATCH($A232,'Smelter Look-up'!$E:$E,0)))</f>
        <v>Tin</v>
      </c>
      <c r="C232" s="219" t="str">
        <f ca="1">IF(LEN(A232)=0,"",INDEX('Smelter Look-up'!$C:$C,MATCH($A232,'Smelter Look-up'!$E:$E,0)))</f>
        <v>PT Babel Surya Alam Lestari</v>
      </c>
      <c r="D232" s="278"/>
      <c r="E232" s="215" t="str">
        <f ca="1">IF(ISERROR($V232),"",OFFSET('Smelter Look-up'!$D$4,$V232-4,0)&amp;"")</f>
        <v>INDONESIA</v>
      </c>
      <c r="F232" s="215" t="str">
        <f ca="1">IF(ISERROR($V232),"",OFFSET('Smelter Look-up'!$E$4,$V232-4,0))</f>
        <v>CID001406</v>
      </c>
      <c r="G232" s="215" t="str">
        <f ca="1">IF(C232=$X$4,"Enter smelter details",IF(ISERROR($V232),"",OFFSET('Smelter Look-up'!$F$4,$V232-4,0)))</f>
        <v>RMI</v>
      </c>
      <c r="H232" s="216">
        <f ca="1">IF(ISERROR($V232),"",OFFSET('Smelter Look-up'!$G$4,$V232-4,0))</f>
        <v>0</v>
      </c>
      <c r="I232" s="217" t="str">
        <f ca="1">IF(ISERROR($V232),"",OFFSET('Smelter Look-up'!$H$4,$V232-4,0))</f>
        <v>Badau</v>
      </c>
      <c r="J232" s="217" t="str">
        <f ca="1">IF(ISERROR($V232),"",OFFSET('Smelter Look-up'!$I$4,$V232-4,0))</f>
        <v>Kepulauan Bangka Belitung</v>
      </c>
      <c r="K232" s="268"/>
      <c r="L232" s="268"/>
      <c r="M232" s="268"/>
      <c r="N232" s="268"/>
      <c r="O232" s="268"/>
      <c r="P232" s="218"/>
      <c r="Q232" s="269"/>
      <c r="R232" s="215" t="str">
        <f ca="1">IF(ISERROR($V232),"",OFFSET('Smelter Look-up'!$C$4,$V232-4,0)&amp;"")</f>
        <v>PT Babel Surya Alam Lestari</v>
      </c>
      <c r="S232" s="222" t="str">
        <f t="shared" ca="1" si="33"/>
        <v>ID</v>
      </c>
      <c r="T232" s="222" t="str">
        <f ca="1">IF(B232="","",IF(ISERROR(MATCH($J232,SorP!$B$1:$B$6230,0)),"",INDIRECT("'SorP'!$A$"&amp;MATCH($J232,SorP!$B$1:$B$6230,0))))</f>
        <v>ID-BB</v>
      </c>
      <c r="U232" s="238"/>
      <c r="V232" s="270">
        <f ca="1">IF(C232="",NA(),MATCH($B232&amp;$C232,'Smelter Look-up'!$J:$J,0))</f>
        <v>478</v>
      </c>
      <c r="W232" s="271"/>
      <c r="X232" s="271">
        <f t="shared" ca="1" si="34"/>
        <v>0</v>
      </c>
      <c r="Y232" s="271"/>
      <c r="Z232" s="271"/>
      <c r="AB232" s="273" t="str">
        <f t="shared" ca="1" si="35"/>
        <v>TinPT Babel Surya Alam Lestari</v>
      </c>
    </row>
    <row r="233" spans="1:28" s="272" customFormat="1" ht="63.75">
      <c r="A233" s="214" t="s">
        <v>147</v>
      </c>
      <c r="B233" s="215" t="str">
        <f ca="1">IF(LEN(A233)=0,"",INDEX('Smelter Look-up'!$A:$A,MATCH($A233,'Smelter Look-up'!$E:$E,0)))</f>
        <v>Gold</v>
      </c>
      <c r="C233" s="219" t="str">
        <f ca="1">IF(LEN(A233)=0,"",INDEX('Smelter Look-up'!$C:$C,MATCH($A233,'Smelter Look-up'!$E:$E,0)))</f>
        <v>Umicore Precious Metals Thailand</v>
      </c>
      <c r="D233" s="278"/>
      <c r="E233" s="215" t="str">
        <f ca="1">IF(ISERROR($V233),"",OFFSET('Smelter Look-up'!$D$4,$V233-4,0)&amp;"")</f>
        <v>THAILAND</v>
      </c>
      <c r="F233" s="215" t="str">
        <f ca="1">IF(ISERROR($V233),"",OFFSET('Smelter Look-up'!$E$4,$V233-4,0))</f>
        <v>CID002314</v>
      </c>
      <c r="G233" s="215" t="str">
        <f ca="1">IF(C233=$X$4,"Enter smelter details",IF(ISERROR($V233),"",OFFSET('Smelter Look-up'!$F$4,$V233-4,0)))</f>
        <v>RMI</v>
      </c>
      <c r="H233" s="216">
        <f ca="1">IF(ISERROR($V233),"",OFFSET('Smelter Look-up'!$G$4,$V233-4,0))</f>
        <v>0</v>
      </c>
      <c r="I233" s="217" t="str">
        <f ca="1">IF(ISERROR($V233),"",OFFSET('Smelter Look-up'!$H$4,$V233-4,0))</f>
        <v>Khwaeng Dok Mai</v>
      </c>
      <c r="J233" s="217" t="str">
        <f ca="1">IF(ISERROR($V233),"",OFFSET('Smelter Look-up'!$I$4,$V233-4,0))</f>
        <v>Krung Thep Maha Nakhon</v>
      </c>
      <c r="K233" s="268"/>
      <c r="L233" s="268"/>
      <c r="M233" s="268"/>
      <c r="N233" s="268"/>
      <c r="O233" s="268"/>
      <c r="P233" s="218"/>
      <c r="Q233" s="269"/>
      <c r="R233" s="215" t="str">
        <f ca="1">IF(ISERROR($V233),"",OFFSET('Smelter Look-up'!$C$4,$V233-4,0)&amp;"")</f>
        <v>Umicore Precious Metals Thailand</v>
      </c>
      <c r="S233" s="222" t="str">
        <f t="shared" ca="1" si="33"/>
        <v>TH</v>
      </c>
      <c r="T233" s="222" t="str">
        <f ca="1">IF(B233="","",IF(ISERROR(MATCH($J233,SorP!$B$1:$B$6230,0)),"",INDIRECT("'SorP'!$A$"&amp;MATCH($J233,SorP!$B$1:$B$6230,0))))</f>
        <v>TH-10</v>
      </c>
      <c r="U233" s="238"/>
      <c r="V233" s="270">
        <f ca="1">IF(C233="",NA(),MATCH($B233&amp;$C233,'Smelter Look-up'!$J:$J,0))</f>
        <v>285</v>
      </c>
      <c r="W233" s="271"/>
      <c r="X233" s="271">
        <f t="shared" ca="1" si="34"/>
        <v>0</v>
      </c>
      <c r="Y233" s="271"/>
      <c r="Z233" s="271"/>
      <c r="AB233" s="273" t="str">
        <f t="shared" ca="1" si="35"/>
        <v>GoldUmicore Precious Metals Thailand</v>
      </c>
    </row>
    <row r="234" spans="1:28" s="272" customFormat="1" ht="63.75">
      <c r="A234" s="214" t="s">
        <v>677</v>
      </c>
      <c r="B234" s="215" t="str">
        <f ca="1">IF(LEN(A234)=0,"",INDEX('Smelter Look-up'!$A:$A,MATCH($A234,'Smelter Look-up'!$E:$E,0)))</f>
        <v>Gold</v>
      </c>
      <c r="C234" s="219" t="str">
        <f ca="1">IF(LEN(A234)=0,"",INDEX('Smelter Look-up'!$C:$C,MATCH($A234,'Smelter Look-up'!$E:$E,0)))</f>
        <v>Guangdong Jinding Gold Limited</v>
      </c>
      <c r="D234" s="278"/>
      <c r="E234" s="215" t="str">
        <f ca="1">IF(ISERROR($V234),"",OFFSET('Smelter Look-up'!$D$4,$V234-4,0)&amp;"")</f>
        <v>CHINA</v>
      </c>
      <c r="F234" s="215" t="str">
        <f ca="1">IF(ISERROR($V234),"",OFFSET('Smelter Look-up'!$E$4,$V234-4,0))</f>
        <v>CID002312</v>
      </c>
      <c r="G234" s="215" t="str">
        <f ca="1">IF(C234=$X$4,"Enter smelter details",IF(ISERROR($V234),"",OFFSET('Smelter Look-up'!$F$4,$V234-4,0)))</f>
        <v>RMI</v>
      </c>
      <c r="H234" s="216">
        <f ca="1">IF(ISERROR($V234),"",OFFSET('Smelter Look-up'!$G$4,$V234-4,0))</f>
        <v>0</v>
      </c>
      <c r="I234" s="217" t="str">
        <f ca="1">IF(ISERROR($V234),"",OFFSET('Smelter Look-up'!$H$4,$V234-4,0))</f>
        <v>Guangzhou</v>
      </c>
      <c r="J234" s="217" t="str">
        <f ca="1">IF(ISERROR($V234),"",OFFSET('Smelter Look-up'!$I$4,$V234-4,0))</f>
        <v>Guangdong Sheng</v>
      </c>
      <c r="K234" s="268"/>
      <c r="L234" s="268"/>
      <c r="M234" s="268"/>
      <c r="N234" s="268"/>
      <c r="O234" s="268"/>
      <c r="P234" s="218"/>
      <c r="Q234" s="269"/>
      <c r="R234" s="215" t="str">
        <f ca="1">IF(ISERROR($V234),"",OFFSET('Smelter Look-up'!$C$4,$V234-4,0)&amp;"")</f>
        <v>Guangdong Jinding Gold Limited</v>
      </c>
      <c r="S234" s="222" t="str">
        <f t="shared" ca="1" si="33"/>
        <v>CN</v>
      </c>
      <c r="T234" s="222" t="str">
        <f ca="1">IF(B234="","",IF(ISERROR(MATCH($J234,SorP!$B$1:$B$6230,0)),"",INDIRECT("'SorP'!$A$"&amp;MATCH($J234,SorP!$B$1:$B$6230,0))))</f>
        <v>CN-GD</v>
      </c>
      <c r="U234" s="238"/>
      <c r="V234" s="270">
        <f ca="1">IF(C234="",NA(),MATCH($B234&amp;$C234,'Smelter Look-up'!$J:$J,0))</f>
        <v>92</v>
      </c>
      <c r="W234" s="271"/>
      <c r="X234" s="271">
        <f t="shared" ca="1" si="34"/>
        <v>0</v>
      </c>
      <c r="Y234" s="271"/>
      <c r="Z234" s="271"/>
      <c r="AB234" s="273" t="str">
        <f t="shared" ca="1" si="35"/>
        <v>GoldGuangdong Jinding Gold Limited</v>
      </c>
    </row>
    <row r="235" spans="1:28" s="272" customFormat="1" ht="89.25">
      <c r="A235" s="214" t="s">
        <v>15329</v>
      </c>
      <c r="B235" s="215" t="str">
        <f ca="1">IF(LEN(A235)=0,"",INDEX('Smelter Look-up'!$A:$A,MATCH($A235,'Smelter Look-up'!$E:$E,0)))</f>
        <v>Gold</v>
      </c>
      <c r="C235" s="219" t="str">
        <f ca="1">IF(LEN(A235)=0,"",INDEX('Smelter Look-up'!$C:$C,MATCH($A235,'Smelter Look-up'!$E:$E,0)))</f>
        <v>Emerald Jewel Industry India Limited (Unit 2)</v>
      </c>
      <c r="D235" s="278"/>
      <c r="E235" s="215" t="str">
        <f ca="1">IF(ISERROR($V235),"",OFFSET('Smelter Look-up'!$D$4,$V235-4,0)&amp;"")</f>
        <v>INDIA</v>
      </c>
      <c r="F235" s="215" t="str">
        <f ca="1">IF(ISERROR($V235),"",OFFSET('Smelter Look-up'!$E$4,$V235-4,0))</f>
        <v>CID003488</v>
      </c>
      <c r="G235" s="215" t="str">
        <f ca="1">IF(C235=$X$4,"Enter smelter details",IF(ISERROR($V235),"",OFFSET('Smelter Look-up'!$F$4,$V235-4,0)))</f>
        <v>RMI</v>
      </c>
      <c r="H235" s="216">
        <f ca="1">IF(ISERROR($V235),"",OFFSET('Smelter Look-up'!$G$4,$V235-4,0))</f>
        <v>0</v>
      </c>
      <c r="I235" s="217" t="str">
        <f ca="1">IF(ISERROR($V235),"",OFFSET('Smelter Look-up'!$H$4,$V235-4,0))</f>
        <v>Coimbatore</v>
      </c>
      <c r="J235" s="217" t="str">
        <f ca="1">IF(ISERROR($V235),"",OFFSET('Smelter Look-up'!$I$4,$V235-4,0))</f>
        <v>Tamil Nadu</v>
      </c>
      <c r="K235" s="268"/>
      <c r="L235" s="268"/>
      <c r="M235" s="268"/>
      <c r="N235" s="268"/>
      <c r="O235" s="268"/>
      <c r="P235" s="218"/>
      <c r="Q235" s="269"/>
      <c r="R235" s="215" t="str">
        <f ca="1">IF(ISERROR($V235),"",OFFSET('Smelter Look-up'!$C$4,$V235-4,0)&amp;"")</f>
        <v>Emerald Jewel Industry India Limited (Unit 2)</v>
      </c>
      <c r="S235" s="222" t="str">
        <f t="shared" ca="1" si="33"/>
        <v>IN</v>
      </c>
      <c r="T235" s="222" t="str">
        <f ca="1">IF(B235="","",IF(ISERROR(MATCH($J235,SorP!$B$1:$B$6230,0)),"",INDIRECT("'SorP'!$A$"&amp;MATCH($J235,SorP!$B$1:$B$6230,0))))</f>
        <v>IN-TN</v>
      </c>
      <c r="U235" s="238"/>
      <c r="V235" s="270">
        <f ca="1">IF(C235="",NA(),MATCH($B235&amp;$C235,'Smelter Look-up'!$J:$J,0))</f>
        <v>75</v>
      </c>
      <c r="W235" s="271"/>
      <c r="X235" s="271">
        <f t="shared" ca="1" si="34"/>
        <v>0</v>
      </c>
      <c r="Y235" s="271"/>
      <c r="Z235" s="271"/>
      <c r="AB235" s="273" t="str">
        <f t="shared" ca="1" si="35"/>
        <v>GoldEmerald Jewel Industry India Limited (Unit 2)</v>
      </c>
    </row>
    <row r="236" spans="1:28" s="272" customFormat="1" ht="89.25">
      <c r="A236" s="214" t="s">
        <v>15331</v>
      </c>
      <c r="B236" s="215" t="str">
        <f ca="1">IF(LEN(A236)=0,"",INDEX('Smelter Look-up'!$A:$A,MATCH($A236,'Smelter Look-up'!$E:$E,0)))</f>
        <v>Gold</v>
      </c>
      <c r="C236" s="219" t="str">
        <f ca="1">IF(LEN(A236)=0,"",INDEX('Smelter Look-up'!$C:$C,MATCH($A236,'Smelter Look-up'!$E:$E,0)))</f>
        <v>Emerald Jewel Industry India Limited (Unit 3)</v>
      </c>
      <c r="D236" s="278"/>
      <c r="E236" s="215" t="str">
        <f ca="1">IF(ISERROR($V236),"",OFFSET('Smelter Look-up'!$D$4,$V236-4,0)&amp;"")</f>
        <v>INDIA</v>
      </c>
      <c r="F236" s="215" t="str">
        <f ca="1">IF(ISERROR($V236),"",OFFSET('Smelter Look-up'!$E$4,$V236-4,0))</f>
        <v>CID003489</v>
      </c>
      <c r="G236" s="215" t="str">
        <f ca="1">IF(C236=$X$4,"Enter smelter details",IF(ISERROR($V236),"",OFFSET('Smelter Look-up'!$F$4,$V236-4,0)))</f>
        <v>RMI</v>
      </c>
      <c r="H236" s="216">
        <f ca="1">IF(ISERROR($V236),"",OFFSET('Smelter Look-up'!$G$4,$V236-4,0))</f>
        <v>0</v>
      </c>
      <c r="I236" s="217" t="str">
        <f ca="1">IF(ISERROR($V236),"",OFFSET('Smelter Look-up'!$H$4,$V236-4,0))</f>
        <v>Coimbatore</v>
      </c>
      <c r="J236" s="217" t="str">
        <f ca="1">IF(ISERROR($V236),"",OFFSET('Smelter Look-up'!$I$4,$V236-4,0))</f>
        <v>Tamil Nadu</v>
      </c>
      <c r="K236" s="268"/>
      <c r="L236" s="268"/>
      <c r="M236" s="268"/>
      <c r="N236" s="268"/>
      <c r="O236" s="268"/>
      <c r="P236" s="218"/>
      <c r="Q236" s="269"/>
      <c r="R236" s="215" t="str">
        <f ca="1">IF(ISERROR($V236),"",OFFSET('Smelter Look-up'!$C$4,$V236-4,0)&amp;"")</f>
        <v>Emerald Jewel Industry India Limited (Unit 3)</v>
      </c>
      <c r="S236" s="222" t="str">
        <f t="shared" ca="1" si="33"/>
        <v>IN</v>
      </c>
      <c r="T236" s="222" t="str">
        <f ca="1">IF(B236="","",IF(ISERROR(MATCH($J236,SorP!$B$1:$B$6230,0)),"",INDIRECT("'SorP'!$A$"&amp;MATCH($J236,SorP!$B$1:$B$6230,0))))</f>
        <v>IN-TN</v>
      </c>
      <c r="U236" s="238"/>
      <c r="V236" s="270">
        <f ca="1">IF(C236="",NA(),MATCH($B236&amp;$C236,'Smelter Look-up'!$J:$J,0))</f>
        <v>76</v>
      </c>
      <c r="W236" s="271"/>
      <c r="X236" s="271">
        <f t="shared" ca="1" si="34"/>
        <v>0</v>
      </c>
      <c r="Y236" s="271"/>
      <c r="Z236" s="271"/>
      <c r="AB236" s="273" t="str">
        <f t="shared" ca="1" si="35"/>
        <v>GoldEmerald Jewel Industry India Limited (Unit 3)</v>
      </c>
    </row>
    <row r="237" spans="1:28" s="272" customFormat="1" ht="89.25">
      <c r="A237" s="214" t="s">
        <v>15333</v>
      </c>
      <c r="B237" s="215" t="str">
        <f ca="1">IF(LEN(A237)=0,"",INDEX('Smelter Look-up'!$A:$A,MATCH($A237,'Smelter Look-up'!$E:$E,0)))</f>
        <v>Gold</v>
      </c>
      <c r="C237" s="219" t="str">
        <f ca="1">IF(LEN(A237)=0,"",INDEX('Smelter Look-up'!$C:$C,MATCH($A237,'Smelter Look-up'!$E:$E,0)))</f>
        <v>Emerald Jewel Industry India Limited (Unit 4)</v>
      </c>
      <c r="D237" s="278"/>
      <c r="E237" s="215" t="str">
        <f ca="1">IF(ISERROR($V237),"",OFFSET('Smelter Look-up'!$D$4,$V237-4,0)&amp;"")</f>
        <v>INDIA</v>
      </c>
      <c r="F237" s="215" t="str">
        <f ca="1">IF(ISERROR($V237),"",OFFSET('Smelter Look-up'!$E$4,$V237-4,0))</f>
        <v>CID003490</v>
      </c>
      <c r="G237" s="215" t="str">
        <f ca="1">IF(C237=$X$4,"Enter smelter details",IF(ISERROR($V237),"",OFFSET('Smelter Look-up'!$F$4,$V237-4,0)))</f>
        <v>RMI</v>
      </c>
      <c r="H237" s="216">
        <f ca="1">IF(ISERROR($V237),"",OFFSET('Smelter Look-up'!$G$4,$V237-4,0))</f>
        <v>0</v>
      </c>
      <c r="I237" s="217" t="str">
        <f ca="1">IF(ISERROR($V237),"",OFFSET('Smelter Look-up'!$H$4,$V237-4,0))</f>
        <v>Coimbatore</v>
      </c>
      <c r="J237" s="217" t="str">
        <f ca="1">IF(ISERROR($V237),"",OFFSET('Smelter Look-up'!$I$4,$V237-4,0))</f>
        <v>Tamil Nadu</v>
      </c>
      <c r="K237" s="268"/>
      <c r="L237" s="268"/>
      <c r="M237" s="268"/>
      <c r="N237" s="268"/>
      <c r="O237" s="268"/>
      <c r="P237" s="218"/>
      <c r="Q237" s="269"/>
      <c r="R237" s="215" t="str">
        <f ca="1">IF(ISERROR($V237),"",OFFSET('Smelter Look-up'!$C$4,$V237-4,0)&amp;"")</f>
        <v>Emerald Jewel Industry India Limited (Unit 4)</v>
      </c>
      <c r="S237" s="222" t="str">
        <f t="shared" ca="1" si="33"/>
        <v>IN</v>
      </c>
      <c r="T237" s="222" t="str">
        <f ca="1">IF(B237="","",IF(ISERROR(MATCH($J237,SorP!$B$1:$B$6230,0)),"",INDIRECT("'SorP'!$A$"&amp;MATCH($J237,SorP!$B$1:$B$6230,0))))</f>
        <v>IN-TN</v>
      </c>
      <c r="U237" s="238"/>
      <c r="V237" s="270">
        <f ca="1">IF(C237="",NA(),MATCH($B237&amp;$C237,'Smelter Look-up'!$J:$J,0))</f>
        <v>77</v>
      </c>
      <c r="W237" s="271"/>
      <c r="X237" s="271">
        <f t="shared" ca="1" si="34"/>
        <v>0</v>
      </c>
      <c r="Y237" s="271"/>
      <c r="Z237" s="271"/>
      <c r="AB237" s="273" t="str">
        <f t="shared" ca="1" si="35"/>
        <v>GoldEmerald Jewel Industry India Limited (Unit 4)</v>
      </c>
    </row>
    <row r="238" spans="1:28" s="272" customFormat="1" ht="25.5">
      <c r="A238" s="214" t="s">
        <v>15322</v>
      </c>
      <c r="B238" s="215" t="str">
        <f ca="1">IF(LEN(A238)=0,"",INDEX('Smelter Look-up'!$A:$A,MATCH($A238,'Smelter Look-up'!$E:$E,0)))</f>
        <v>Gold</v>
      </c>
      <c r="C238" s="219" t="str">
        <f ca="1">IF(LEN(A238)=0,"",INDEX('Smelter Look-up'!$C:$C,MATCH($A238,'Smelter Look-up'!$E:$E,0)))</f>
        <v>Alexy Metals</v>
      </c>
      <c r="D238" s="278"/>
      <c r="E238" s="215" t="str">
        <f ca="1">IF(ISERROR($V238),"",OFFSET('Smelter Look-up'!$D$4,$V238-4,0)&amp;"")</f>
        <v>UNITED STATES OF AMERICA</v>
      </c>
      <c r="F238" s="215" t="str">
        <f ca="1">IF(ISERROR($V238),"",OFFSET('Smelter Look-up'!$E$4,$V238-4,0))</f>
        <v>CID003500</v>
      </c>
      <c r="G238" s="215" t="str">
        <f ca="1">IF(C238=$X$4,"Enter smelter details",IF(ISERROR($V238),"",OFFSET('Smelter Look-up'!$F$4,$V238-4,0)))</f>
        <v>RMI</v>
      </c>
      <c r="H238" s="216">
        <f ca="1">IF(ISERROR($V238),"",OFFSET('Smelter Look-up'!$G$4,$V238-4,0))</f>
        <v>0</v>
      </c>
      <c r="I238" s="217" t="str">
        <f ca="1">IF(ISERROR($V238),"",OFFSET('Smelter Look-up'!$H$4,$V238-4,0))</f>
        <v>Mentor</v>
      </c>
      <c r="J238" s="217" t="str">
        <f ca="1">IF(ISERROR($V238),"",OFFSET('Smelter Look-up'!$I$4,$V238-4,0))</f>
        <v>Ohio</v>
      </c>
      <c r="K238" s="268"/>
      <c r="L238" s="268"/>
      <c r="M238" s="268"/>
      <c r="N238" s="268"/>
      <c r="O238" s="268"/>
      <c r="P238" s="218"/>
      <c r="Q238" s="269"/>
      <c r="R238" s="215" t="str">
        <f ca="1">IF(ISERROR($V238),"",OFFSET('Smelter Look-up'!$C$4,$V238-4,0)&amp;"")</f>
        <v>Alexy Metals</v>
      </c>
      <c r="S238" s="222" t="str">
        <f t="shared" ca="1" si="33"/>
        <v>US</v>
      </c>
      <c r="T238" s="222" t="str">
        <f ca="1">IF(B238="","",IF(ISERROR(MATCH($J238,SorP!$B$1:$B$6230,0)),"",INDIRECT("'SorP'!$A$"&amp;MATCH($J238,SorP!$B$1:$B$6230,0))))</f>
        <v>US-OH</v>
      </c>
      <c r="U238" s="238"/>
      <c r="V238" s="270">
        <f ca="1">IF(C238="",NA(),MATCH($B238&amp;$C238,'Smelter Look-up'!$J:$J,0))</f>
        <v>15</v>
      </c>
      <c r="W238" s="271"/>
      <c r="X238" s="271">
        <f t="shared" ca="1" si="34"/>
        <v>0</v>
      </c>
      <c r="Y238" s="271"/>
      <c r="Z238" s="271"/>
      <c r="AB238" s="273" t="str">
        <f t="shared" ca="1" si="35"/>
        <v>GoldAlexy Metals</v>
      </c>
    </row>
    <row r="239" spans="1:28" s="272" customFormat="1" ht="51">
      <c r="A239" s="214" t="s">
        <v>15349</v>
      </c>
      <c r="B239" s="215" t="str">
        <f ca="1">IF(LEN(A239)=0,"",INDEX('Smelter Look-up'!$A:$A,MATCH($A239,'Smelter Look-up'!$E:$E,0)))</f>
        <v>Gold</v>
      </c>
      <c r="C239" s="219" t="str">
        <f ca="1">IF(LEN(A239)=0,"",INDEX('Smelter Look-up'!$C:$C,MATCH($A239,'Smelter Look-up'!$E:$E,0)))</f>
        <v>Sellem Industries Ltd.</v>
      </c>
      <c r="D239" s="278"/>
      <c r="E239" s="215" t="str">
        <f ca="1">IF(ISERROR($V239),"",OFFSET('Smelter Look-up'!$D$4,$V239-4,0)&amp;"")</f>
        <v>MAURITANIA</v>
      </c>
      <c r="F239" s="215" t="str">
        <f ca="1">IF(ISERROR($V239),"",OFFSET('Smelter Look-up'!$E$4,$V239-4,0))</f>
        <v>CID003540</v>
      </c>
      <c r="G239" s="215" t="str">
        <f ca="1">IF(C239=$X$4,"Enter smelter details",IF(ISERROR($V239),"",OFFSET('Smelter Look-up'!$F$4,$V239-4,0)))</f>
        <v>RMI</v>
      </c>
      <c r="H239" s="216">
        <f ca="1">IF(ISERROR($V239),"",OFFSET('Smelter Look-up'!$G$4,$V239-4,0))</f>
        <v>0</v>
      </c>
      <c r="I239" s="217" t="str">
        <f ca="1">IF(ISERROR($V239),"",OFFSET('Smelter Look-up'!$H$4,$V239-4,0))</f>
        <v>Nouakchott</v>
      </c>
      <c r="J239" s="217" t="str">
        <f ca="1">IF(ISERROR($V239),"",OFFSET('Smelter Look-up'!$I$4,$V239-4,0))</f>
        <v>Nouakchott Ouest</v>
      </c>
      <c r="K239" s="268"/>
      <c r="L239" s="268"/>
      <c r="M239" s="268"/>
      <c r="N239" s="268"/>
      <c r="O239" s="268"/>
      <c r="P239" s="218"/>
      <c r="Q239" s="269"/>
      <c r="R239" s="215" t="str">
        <f ca="1">IF(ISERROR($V239),"",OFFSET('Smelter Look-up'!$C$4,$V239-4,0)&amp;"")</f>
        <v>Sellem Industries Ltd.</v>
      </c>
      <c r="S239" s="222" t="str">
        <f t="shared" ca="1" si="33"/>
        <v>MR</v>
      </c>
      <c r="T239" s="222" t="str">
        <f ca="1">IF(B239="","",IF(ISERROR(MATCH($J239,SorP!$B$1:$B$6230,0)),"",INDIRECT("'SorP'!$A$"&amp;MATCH($J239,SorP!$B$1:$B$6230,0))))</f>
        <v>MR-13</v>
      </c>
      <c r="U239" s="238"/>
      <c r="V239" s="270">
        <f ca="1">IF(C239="",NA(),MATCH($B239&amp;$C239,'Smelter Look-up'!$J:$J,0))</f>
        <v>228</v>
      </c>
      <c r="W239" s="271"/>
      <c r="X239" s="271">
        <f t="shared" ca="1" si="34"/>
        <v>0</v>
      </c>
      <c r="Y239" s="271"/>
      <c r="Z239" s="271"/>
      <c r="AB239" s="273" t="str">
        <f t="shared" ca="1" si="35"/>
        <v>GoldSellem Industries Ltd.</v>
      </c>
    </row>
    <row r="240" spans="1:28" s="272" customFormat="1" ht="51">
      <c r="A240" s="214" t="s">
        <v>15345</v>
      </c>
      <c r="B240" s="215" t="str">
        <f ca="1">IF(LEN(A240)=0,"",INDEX('Smelter Look-up'!$A:$A,MATCH($A240,'Smelter Look-up'!$E:$E,0)))</f>
        <v>Gold</v>
      </c>
      <c r="C240" s="219" t="str">
        <f ca="1">IF(LEN(A240)=0,"",INDEX('Smelter Look-up'!$C:$C,MATCH($A240,'Smelter Look-up'!$E:$E,0)))</f>
        <v>Metallix Refining Inc.</v>
      </c>
      <c r="D240" s="278"/>
      <c r="E240" s="215" t="str">
        <f ca="1">IF(ISERROR($V240),"",OFFSET('Smelter Look-up'!$D$4,$V240-4,0)&amp;"")</f>
        <v>UNITED STATES OF AMERICA</v>
      </c>
      <c r="F240" s="215" t="str">
        <f ca="1">IF(ISERROR($V240),"",OFFSET('Smelter Look-up'!$E$4,$V240-4,0))</f>
        <v>CID003557</v>
      </c>
      <c r="G240" s="215" t="str">
        <f ca="1">IF(C240=$X$4,"Enter smelter details",IF(ISERROR($V240),"",OFFSET('Smelter Look-up'!$F$4,$V240-4,0)))</f>
        <v>RMI</v>
      </c>
      <c r="H240" s="216">
        <f ca="1">IF(ISERROR($V240),"",OFFSET('Smelter Look-up'!$G$4,$V240-4,0))</f>
        <v>0</v>
      </c>
      <c r="I240" s="217" t="str">
        <f ca="1">IF(ISERROR($V240),"",OFFSET('Smelter Look-up'!$H$4,$V240-4,0))</f>
        <v>Greenville</v>
      </c>
      <c r="J240" s="217" t="str">
        <f ca="1">IF(ISERROR($V240),"",OFFSET('Smelter Look-up'!$I$4,$V240-4,0))</f>
        <v>North Carolina</v>
      </c>
      <c r="K240" s="268"/>
      <c r="L240" s="268"/>
      <c r="M240" s="268"/>
      <c r="N240" s="268"/>
      <c r="O240" s="268"/>
      <c r="P240" s="218"/>
      <c r="Q240" s="269"/>
      <c r="R240" s="215" t="str">
        <f ca="1">IF(ISERROR($V240),"",OFFSET('Smelter Look-up'!$C$4,$V240-4,0)&amp;"")</f>
        <v>Metallix Refining Inc.</v>
      </c>
      <c r="S240" s="222" t="str">
        <f t="shared" ca="1" si="33"/>
        <v>US</v>
      </c>
      <c r="T240" s="222" t="str">
        <f ca="1">IF(B240="","",IF(ISERROR(MATCH($J240,SorP!$B$1:$B$6230,0)),"",INDIRECT("'SorP'!$A$"&amp;MATCH($J240,SorP!$B$1:$B$6230,0))))</f>
        <v>US-NC</v>
      </c>
      <c r="U240" s="238"/>
      <c r="V240" s="270">
        <f ca="1">IF(C240="",NA(),MATCH($B240&amp;$C240,'Smelter Look-up'!$J:$J,0))</f>
        <v>165</v>
      </c>
      <c r="W240" s="271"/>
      <c r="X240" s="271">
        <f t="shared" ca="1" si="34"/>
        <v>0</v>
      </c>
      <c r="Y240" s="271"/>
      <c r="Z240" s="271"/>
      <c r="AB240" s="273" t="str">
        <f t="shared" ca="1" si="35"/>
        <v>GoldMetallix Refining Inc.</v>
      </c>
    </row>
    <row r="241" spans="1:28" s="272" customFormat="1" ht="127.5">
      <c r="A241" s="214" t="s">
        <v>2224</v>
      </c>
      <c r="B241" s="215" t="str">
        <f ca="1">IF(LEN(A241)=0,"",INDEX('Smelter Look-up'!$A:$A,MATCH($A241,'Smelter Look-up'!$E:$E,0)))</f>
        <v>Gold</v>
      </c>
      <c r="C241" s="219" t="str">
        <f ca="1">IF(LEN(A241)=0,"",INDEX('Smelter Look-up'!$C:$C,MATCH($A241,'Smelter Look-up'!$E:$E,0)))</f>
        <v>Ogussa Osterreichische Gold- und Silber-Scheideanstalt GmbH</v>
      </c>
      <c r="D241" s="278"/>
      <c r="E241" s="215" t="str">
        <f ca="1">IF(ISERROR($V241),"",OFFSET('Smelter Look-up'!$D$4,$V241-4,0)&amp;"")</f>
        <v>AUSTRIA</v>
      </c>
      <c r="F241" s="215" t="str">
        <f ca="1">IF(ISERROR($V241),"",OFFSET('Smelter Look-up'!$E$4,$V241-4,0))</f>
        <v>CID002779</v>
      </c>
      <c r="G241" s="215" t="str">
        <f ca="1">IF(C241=$X$4,"Enter smelter details",IF(ISERROR($V241),"",OFFSET('Smelter Look-up'!$F$4,$V241-4,0)))</f>
        <v>RMI</v>
      </c>
      <c r="H241" s="216">
        <f ca="1">IF(ISERROR($V241),"",OFFSET('Smelter Look-up'!$G$4,$V241-4,0))</f>
        <v>0</v>
      </c>
      <c r="I241" s="217" t="str">
        <f ca="1">IF(ISERROR($V241),"",OFFSET('Smelter Look-up'!$H$4,$V241-4,0))</f>
        <v>Vienna</v>
      </c>
      <c r="J241" s="217" t="str">
        <f ca="1">IF(ISERROR($V241),"",OFFSET('Smelter Look-up'!$I$4,$V241-4,0))</f>
        <v>Wien</v>
      </c>
      <c r="K241" s="268"/>
      <c r="L241" s="268"/>
      <c r="M241" s="268"/>
      <c r="N241" s="268"/>
      <c r="O241" s="268"/>
      <c r="P241" s="218"/>
      <c r="Q241" s="269"/>
      <c r="R241" s="215" t="str">
        <f ca="1">IF(ISERROR($V241),"",OFFSET('Smelter Look-up'!$C$4,$V241-4,0)&amp;"")</f>
        <v>Ogussa Osterreichische Gold- und Silber-Scheideanstalt GmbH</v>
      </c>
      <c r="S241" s="222" t="str">
        <f t="shared" ca="1" si="33"/>
        <v>AT</v>
      </c>
      <c r="T241" s="222" t="str">
        <f ca="1">IF(B241="","",IF(ISERROR(MATCH($J241,SorP!$B$1:$B$6230,0)),"",INDIRECT("'SorP'!$A$"&amp;MATCH($J241,SorP!$B$1:$B$6230,0))))</f>
        <v>AT-9</v>
      </c>
      <c r="U241" s="238"/>
      <c r="V241" s="270">
        <f ca="1">IF(C241="",NA(),MATCH($B241&amp;$C241,'Smelter Look-up'!$J:$J,0))</f>
        <v>191</v>
      </c>
      <c r="W241" s="271"/>
      <c r="X241" s="271">
        <f t="shared" ca="1" si="34"/>
        <v>0</v>
      </c>
      <c r="Y241" s="271"/>
      <c r="Z241" s="271"/>
      <c r="AB241" s="273" t="str">
        <f t="shared" ca="1" si="35"/>
        <v>GoldOgussa Osterreichische Gold- und Silber-Scheideanstalt GmbH</v>
      </c>
    </row>
    <row r="242" spans="1:28" s="272" customFormat="1" ht="76.5">
      <c r="A242" s="214" t="s">
        <v>15398</v>
      </c>
      <c r="B242" s="215" t="str">
        <f ca="1">IF(LEN(A242)=0,"",INDEX('Smelter Look-up'!$A:$A,MATCH($A242,'Smelter Look-up'!$E:$E,0)))</f>
        <v>Tin</v>
      </c>
      <c r="C242" s="219" t="str">
        <f ca="1">IF(LEN(A242)=0,"",INDEX('Smelter Look-up'!$C:$C,MATCH($A242,'Smelter Look-up'!$E:$E,0)))</f>
        <v>PT Lautan Harmonis Sejahtera</v>
      </c>
      <c r="D242" s="278"/>
      <c r="E242" s="215" t="str">
        <f ca="1">IF(ISERROR($V242),"",OFFSET('Smelter Look-up'!$D$4,$V242-4,0)&amp;"")</f>
        <v>INDONESIA</v>
      </c>
      <c r="F242" s="215" t="str">
        <f ca="1">IF(ISERROR($V242),"",OFFSET('Smelter Look-up'!$E$4,$V242-4,0))</f>
        <v>CID002870</v>
      </c>
      <c r="G242" s="215" t="str">
        <f ca="1">IF(C242=$X$4,"Enter smelter details",IF(ISERROR($V242),"",OFFSET('Smelter Look-up'!$F$4,$V242-4,0)))</f>
        <v>RMI</v>
      </c>
      <c r="H242" s="216">
        <f ca="1">IF(ISERROR($V242),"",OFFSET('Smelter Look-up'!$G$4,$V242-4,0))</f>
        <v>0</v>
      </c>
      <c r="I242" s="217" t="str">
        <f ca="1">IF(ISERROR($V242),"",OFFSET('Smelter Look-up'!$H$4,$V242-4,0))</f>
        <v>Pasir Putih</v>
      </c>
      <c r="J242" s="217" t="str">
        <f ca="1">IF(ISERROR($V242),"",OFFSET('Smelter Look-up'!$I$4,$V242-4,0))</f>
        <v>Kepulauan Bangka Belitung</v>
      </c>
      <c r="K242" s="268"/>
      <c r="L242" s="268"/>
      <c r="M242" s="268"/>
      <c r="N242" s="268"/>
      <c r="O242" s="268"/>
      <c r="P242" s="218"/>
      <c r="Q242" s="269"/>
      <c r="R242" s="215" t="str">
        <f ca="1">IF(ISERROR($V242),"",OFFSET('Smelter Look-up'!$C$4,$V242-4,0)&amp;"")</f>
        <v>PT Lautan Harmonis Sejahtera</v>
      </c>
      <c r="S242" s="222" t="str">
        <f t="shared" ca="1" si="33"/>
        <v>ID</v>
      </c>
      <c r="T242" s="222" t="str">
        <f ca="1">IF(B242="","",IF(ISERROR(MATCH($J242,SorP!$B$1:$B$6230,0)),"",INDIRECT("'SorP'!$A$"&amp;MATCH($J242,SorP!$B$1:$B$6230,0))))</f>
        <v>ID-BB</v>
      </c>
      <c r="U242" s="238"/>
      <c r="V242" s="270">
        <f ca="1">IF(C242="",NA(),MATCH($B242&amp;$C242,'Smelter Look-up'!$J:$J,0))</f>
        <v>480</v>
      </c>
      <c r="W242" s="271"/>
      <c r="X242" s="271">
        <f t="shared" ca="1" si="34"/>
        <v>0</v>
      </c>
      <c r="Y242" s="271"/>
      <c r="Z242" s="271"/>
      <c r="AB242" s="273" t="str">
        <f t="shared" ca="1" si="35"/>
        <v>TinPT Lautan Harmonis Sejahtera</v>
      </c>
    </row>
    <row r="243" spans="1:28" s="272" customFormat="1" ht="38.25">
      <c r="A243" s="214" t="s">
        <v>2473</v>
      </c>
      <c r="B243" s="215" t="str">
        <f ca="1">IF(LEN(A243)=0,"",INDEX('Smelter Look-up'!$A:$A,MATCH($A243,'Smelter Look-up'!$E:$E,0)))</f>
        <v>Gold</v>
      </c>
      <c r="C243" s="219" t="str">
        <f ca="1">IF(LEN(A243)=0,"",INDEX('Smelter Look-up'!$C:$C,MATCH($A243,'Smelter Look-up'!$E:$E,0)))</f>
        <v>Pease &amp; Curren</v>
      </c>
      <c r="D243" s="278"/>
      <c r="E243" s="215" t="str">
        <f ca="1">IF(ISERROR($V243),"",OFFSET('Smelter Look-up'!$D$4,$V243-4,0)&amp;"")</f>
        <v>UNITED STATES OF AMERICA</v>
      </c>
      <c r="F243" s="215" t="str">
        <f ca="1">IF(ISERROR($V243),"",OFFSET('Smelter Look-up'!$E$4,$V243-4,0))</f>
        <v>CID002872</v>
      </c>
      <c r="G243" s="215" t="str">
        <f ca="1">IF(C243=$X$4,"Enter smelter details",IF(ISERROR($V243),"",OFFSET('Smelter Look-up'!$F$4,$V243-4,0)))</f>
        <v>RMI</v>
      </c>
      <c r="H243" s="216">
        <f ca="1">IF(ISERROR($V243),"",OFFSET('Smelter Look-up'!$G$4,$V243-4,0))</f>
        <v>0</v>
      </c>
      <c r="I243" s="217" t="str">
        <f ca="1">IF(ISERROR($V243),"",OFFSET('Smelter Look-up'!$H$4,$V243-4,0))</f>
        <v>Warwick</v>
      </c>
      <c r="J243" s="217" t="str">
        <f ca="1">IF(ISERROR($V243),"",OFFSET('Smelter Look-up'!$I$4,$V243-4,0))</f>
        <v>Rhode Island</v>
      </c>
      <c r="K243" s="268"/>
      <c r="L243" s="268"/>
      <c r="M243" s="268"/>
      <c r="N243" s="268"/>
      <c r="O243" s="268"/>
      <c r="P243" s="218"/>
      <c r="Q243" s="269"/>
      <c r="R243" s="215" t="str">
        <f ca="1">IF(ISERROR($V243),"",OFFSET('Smelter Look-up'!$C$4,$V243-4,0)&amp;"")</f>
        <v>Pease &amp; Curren</v>
      </c>
      <c r="S243" s="222" t="str">
        <f t="shared" ca="1" si="33"/>
        <v>US</v>
      </c>
      <c r="T243" s="222" t="str">
        <f ca="1">IF(B243="","",IF(ISERROR(MATCH($J243,SorP!$B$1:$B$6230,0)),"",INDIRECT("'SorP'!$A$"&amp;MATCH($J243,SorP!$B$1:$B$6230,0))))</f>
        <v>US-RI</v>
      </c>
      <c r="U243" s="238"/>
      <c r="V243" s="270">
        <f ca="1">IF(C243="",NA(),MATCH($B243&amp;$C243,'Smelter Look-up'!$J:$J,0))</f>
        <v>199</v>
      </c>
      <c r="W243" s="271"/>
      <c r="X243" s="271">
        <f t="shared" ca="1" si="34"/>
        <v>0</v>
      </c>
      <c r="Y243" s="271"/>
      <c r="Z243" s="271"/>
      <c r="AB243" s="273" t="str">
        <f t="shared" ca="1" si="35"/>
        <v>GoldPease &amp; Curren</v>
      </c>
    </row>
    <row r="244" spans="1:28" s="272" customFormat="1" ht="38.25">
      <c r="A244" s="214" t="s">
        <v>2551</v>
      </c>
      <c r="B244" s="215" t="str">
        <f ca="1">IF(LEN(A244)=0,"",INDEX('Smelter Look-up'!$A:$A,MATCH($A244,'Smelter Look-up'!$E:$E,0)))</f>
        <v>Gold</v>
      </c>
      <c r="C244" s="219" t="str">
        <f ca="1">IF(LEN(A244)=0,"",INDEX('Smelter Look-up'!$C:$C,MATCH($A244,'Smelter Look-up'!$E:$E,0)))</f>
        <v>Safimet S.p.A</v>
      </c>
      <c r="D244" s="278"/>
      <c r="E244" s="215" t="str">
        <f ca="1">IF(ISERROR($V244),"",OFFSET('Smelter Look-up'!$D$4,$V244-4,0)&amp;"")</f>
        <v>ITALY</v>
      </c>
      <c r="F244" s="215" t="str">
        <f ca="1">IF(ISERROR($V244),"",OFFSET('Smelter Look-up'!$E$4,$V244-4,0))</f>
        <v>CID002973</v>
      </c>
      <c r="G244" s="215" t="str">
        <f ca="1">IF(C244=$X$4,"Enter smelter details",IF(ISERROR($V244),"",OFFSET('Smelter Look-up'!$F$4,$V244-4,0)))</f>
        <v>RMI</v>
      </c>
      <c r="H244" s="216">
        <f ca="1">IF(ISERROR($V244),"",OFFSET('Smelter Look-up'!$G$4,$V244-4,0))</f>
        <v>0</v>
      </c>
      <c r="I244" s="217" t="str">
        <f ca="1">IF(ISERROR($V244),"",OFFSET('Smelter Look-up'!$H$4,$V244-4,0))</f>
        <v>Arezzo</v>
      </c>
      <c r="J244" s="217" t="str">
        <f ca="1">IF(ISERROR($V244),"",OFFSET('Smelter Look-up'!$I$4,$V244-4,0))</f>
        <v>Toscana</v>
      </c>
      <c r="K244" s="268"/>
      <c r="L244" s="268"/>
      <c r="M244" s="268"/>
      <c r="N244" s="268"/>
      <c r="O244" s="268"/>
      <c r="P244" s="218"/>
      <c r="Q244" s="269"/>
      <c r="R244" s="215" t="str">
        <f ca="1">IF(ISERROR($V244),"",OFFSET('Smelter Look-up'!$C$4,$V244-4,0)&amp;"")</f>
        <v>Safimet S.p.A</v>
      </c>
      <c r="S244" s="222" t="str">
        <f t="shared" ca="1" si="33"/>
        <v>IT</v>
      </c>
      <c r="T244" s="222" t="str">
        <f ca="1">IF(B244="","",IF(ISERROR(MATCH($J244,SorP!$B$1:$B$6230,0)),"",INDIRECT("'SorP'!$A$"&amp;MATCH($J244,SorP!$B$1:$B$6230,0))))</f>
        <v>IT-52</v>
      </c>
      <c r="U244" s="238"/>
      <c r="V244" s="270">
        <f ca="1">IF(C244="",NA(),MATCH($B244&amp;$C244,'Smelter Look-up'!$J:$J,0))</f>
        <v>218</v>
      </c>
      <c r="W244" s="271"/>
      <c r="X244" s="271">
        <f t="shared" ca="1" si="34"/>
        <v>0</v>
      </c>
      <c r="Y244" s="271"/>
      <c r="Z244" s="271"/>
      <c r="AB244" s="273" t="str">
        <f t="shared" ca="1" si="35"/>
        <v>GoldSafimet S.p.A</v>
      </c>
    </row>
    <row r="245" spans="1:28" s="272" customFormat="1" ht="76.5">
      <c r="A245" s="214" t="s">
        <v>2321</v>
      </c>
      <c r="B245" s="215" t="str">
        <f ca="1">IF(LEN(A245)=0,"",INDEX('Smelter Look-up'!$A:$A,MATCH($A245,'Smelter Look-up'!$E:$E,0)))</f>
        <v>Gold</v>
      </c>
      <c r="C245" s="219" t="str">
        <f ca="1">IF(LEN(A245)=0,"",INDEX('Smelter Look-up'!$C:$C,MATCH($A245,'Smelter Look-up'!$E:$E,0)))</f>
        <v>GCC Gujrat Gold Centre Pvt. Ltd.</v>
      </c>
      <c r="D245" s="278"/>
      <c r="E245" s="215" t="str">
        <f ca="1">IF(ISERROR($V245),"",OFFSET('Smelter Look-up'!$D$4,$V245-4,0)&amp;"")</f>
        <v>INDIA</v>
      </c>
      <c r="F245" s="215" t="str">
        <f ca="1">IF(ISERROR($V245),"",OFFSET('Smelter Look-up'!$E$4,$V245-4,0))</f>
        <v>CID002852</v>
      </c>
      <c r="G245" s="215" t="str">
        <f ca="1">IF(C245=$X$4,"Enter smelter details",IF(ISERROR($V245),"",OFFSET('Smelter Look-up'!$F$4,$V245-4,0)))</f>
        <v>RMI</v>
      </c>
      <c r="H245" s="216">
        <f ca="1">IF(ISERROR($V245),"",OFFSET('Smelter Look-up'!$G$4,$V245-4,0))</f>
        <v>0</v>
      </c>
      <c r="I245" s="217" t="str">
        <f ca="1">IF(ISERROR($V245),"",OFFSET('Smelter Look-up'!$H$4,$V245-4,0))</f>
        <v>Ahmedabad</v>
      </c>
      <c r="J245" s="217" t="str">
        <f ca="1">IF(ISERROR($V245),"",OFFSET('Smelter Look-up'!$I$4,$V245-4,0))</f>
        <v>Gujarat</v>
      </c>
      <c r="K245" s="268"/>
      <c r="L245" s="268"/>
      <c r="M245" s="268"/>
      <c r="N245" s="268"/>
      <c r="O245" s="268"/>
      <c r="P245" s="218"/>
      <c r="Q245" s="269"/>
      <c r="R245" s="215" t="str">
        <f ca="1">IF(ISERROR($V245),"",OFFSET('Smelter Look-up'!$C$4,$V245-4,0)&amp;"")</f>
        <v>GCC Gujrat Gold Centre Pvt. Ltd.</v>
      </c>
      <c r="S245" s="222" t="str">
        <f t="shared" ca="1" si="33"/>
        <v>IN</v>
      </c>
      <c r="T245" s="222" t="str">
        <f ca="1">IF(B245="","",IF(ISERROR(MATCH($J245,SorP!$B$1:$B$6230,0)),"",INDIRECT("'SorP'!$A$"&amp;MATCH($J245,SorP!$B$1:$B$6230,0))))</f>
        <v>IN-GJ</v>
      </c>
      <c r="U245" s="238"/>
      <c r="V245" s="270">
        <f ca="1">IF(C245="",NA(),MATCH($B245&amp;$C245,'Smelter Look-up'!$J:$J,0))</f>
        <v>84</v>
      </c>
      <c r="W245" s="271"/>
      <c r="X245" s="271">
        <f t="shared" ca="1" si="34"/>
        <v>0</v>
      </c>
      <c r="Y245" s="271"/>
      <c r="Z245" s="271"/>
      <c r="AB245" s="273" t="str">
        <f t="shared" ca="1" si="35"/>
        <v>GoldGCC Gujrat Gold Centre Pvt. Ltd.</v>
      </c>
    </row>
    <row r="246" spans="1:28" s="272" customFormat="1" ht="38.25">
      <c r="A246" s="214" t="s">
        <v>1720</v>
      </c>
      <c r="B246" s="215" t="str">
        <f ca="1">IF(LEN(A246)=0,"",INDEX('Smelter Look-up'!$A:$A,MATCH($A246,'Smelter Look-up'!$E:$E,0)))</f>
        <v>Gold</v>
      </c>
      <c r="C246" s="219" t="str">
        <f ca="1">IF(LEN(A246)=0,"",INDEX('Smelter Look-up'!$C:$C,MATCH($A246,'Smelter Look-up'!$E:$E,0)))</f>
        <v>Sudan Gold Refinery</v>
      </c>
      <c r="D246" s="278"/>
      <c r="E246" s="215" t="str">
        <f ca="1">IF(ISERROR($V246),"",OFFSET('Smelter Look-up'!$D$4,$V246-4,0)&amp;"")</f>
        <v>SUDAN</v>
      </c>
      <c r="F246" s="215" t="str">
        <f ca="1">IF(ISERROR($V246),"",OFFSET('Smelter Look-up'!$E$4,$V246-4,0))</f>
        <v>CID002567</v>
      </c>
      <c r="G246" s="215" t="str">
        <f ca="1">IF(C246=$X$4,"Enter smelter details",IF(ISERROR($V246),"",OFFSET('Smelter Look-up'!$F$4,$V246-4,0)))</f>
        <v>RMI</v>
      </c>
      <c r="H246" s="216">
        <f ca="1">IF(ISERROR($V246),"",OFFSET('Smelter Look-up'!$G$4,$V246-4,0))</f>
        <v>0</v>
      </c>
      <c r="I246" s="217" t="str">
        <f ca="1">IF(ISERROR($V246),"",OFFSET('Smelter Look-up'!$H$4,$V246-4,0))</f>
        <v>Khartoum</v>
      </c>
      <c r="J246" s="217" t="str">
        <f ca="1">IF(ISERROR($V246),"",OFFSET('Smelter Look-up'!$I$4,$V246-4,0))</f>
        <v>Khartoum</v>
      </c>
      <c r="K246" s="268"/>
      <c r="L246" s="268"/>
      <c r="M246" s="268"/>
      <c r="N246" s="268"/>
      <c r="O246" s="268"/>
      <c r="P246" s="218"/>
      <c r="Q246" s="269"/>
      <c r="R246" s="215" t="str">
        <f ca="1">IF(ISERROR($V246),"",OFFSET('Smelter Look-up'!$C$4,$V246-4,0)&amp;"")</f>
        <v>Sudan Gold Refinery</v>
      </c>
      <c r="S246" s="222" t="str">
        <f t="shared" ca="1" si="33"/>
        <v>SD</v>
      </c>
      <c r="T246" s="222" t="str">
        <f ca="1">IF(B246="","",IF(ISERROR(MATCH($J246,SorP!$B$1:$B$6230,0)),"",INDIRECT("'SorP'!$A$"&amp;MATCH($J246,SorP!$B$1:$B$6230,0))))</f>
        <v>SD-KH</v>
      </c>
      <c r="U246" s="238"/>
      <c r="V246" s="270">
        <f ca="1">IF(C246="",NA(),MATCH($B246&amp;$C246,'Smelter Look-up'!$J:$J,0))</f>
        <v>257</v>
      </c>
      <c r="W246" s="271"/>
      <c r="X246" s="271">
        <f t="shared" ca="1" si="34"/>
        <v>0</v>
      </c>
      <c r="Y246" s="271"/>
      <c r="Z246" s="271"/>
      <c r="AB246" s="273" t="str">
        <f t="shared" ca="1" si="35"/>
        <v>GoldSudan Gold Refinery</v>
      </c>
    </row>
    <row r="247" spans="1:28" s="272" customFormat="1" ht="63.75">
      <c r="A247" s="214" t="s">
        <v>13138</v>
      </c>
      <c r="B247" s="215" t="str">
        <f ca="1">IF(LEN(A247)=0,"",INDEX('Smelter Look-up'!$A:$A,MATCH($A247,'Smelter Look-up'!$E:$E,0)))</f>
        <v>Gold</v>
      </c>
      <c r="C247" s="219" t="str">
        <f ca="1">IF(LEN(A247)=0,"",INDEX('Smelter Look-up'!$C:$C,MATCH($A247,'Smelter Look-up'!$E:$E,0)))</f>
        <v>NH Recytech Company</v>
      </c>
      <c r="D247" s="278"/>
      <c r="E247" s="215" t="str">
        <f ca="1">IF(ISERROR($V247),"",OFFSET('Smelter Look-up'!$D$4,$V247-4,0)&amp;"")</f>
        <v>KOREA, REPUBLIC OF</v>
      </c>
      <c r="F247" s="215" t="str">
        <f ca="1">IF(ISERROR($V247),"",OFFSET('Smelter Look-up'!$E$4,$V247-4,0))</f>
        <v>CID003189</v>
      </c>
      <c r="G247" s="215" t="str">
        <f ca="1">IF(C247=$X$4,"Enter smelter details",IF(ISERROR($V247),"",OFFSET('Smelter Look-up'!$F$4,$V247-4,0)))</f>
        <v>RMI</v>
      </c>
      <c r="H247" s="216">
        <f ca="1">IF(ISERROR($V247),"",OFFSET('Smelter Look-up'!$G$4,$V247-4,0))</f>
        <v>0</v>
      </c>
      <c r="I247" s="217" t="str">
        <f ca="1">IF(ISERROR($V247),"",OFFSET('Smelter Look-up'!$H$4,$V247-4,0))</f>
        <v>Pyeongtaek-si</v>
      </c>
      <c r="J247" s="217" t="str">
        <f ca="1">IF(ISERROR($V247),"",OFFSET('Smelter Look-up'!$I$4,$V247-4,0))</f>
        <v>Gyeonggi-do</v>
      </c>
      <c r="K247" s="268"/>
      <c r="L247" s="268"/>
      <c r="M247" s="268"/>
      <c r="N247" s="268"/>
      <c r="O247" s="268"/>
      <c r="P247" s="218"/>
      <c r="Q247" s="269"/>
      <c r="R247" s="215" t="str">
        <f ca="1">IF(ISERROR($V247),"",OFFSET('Smelter Look-up'!$C$4,$V247-4,0)&amp;"")</f>
        <v>NH Recytech Company</v>
      </c>
      <c r="S247" s="222" t="str">
        <f t="shared" ca="1" si="33"/>
        <v>KR</v>
      </c>
      <c r="T247" s="222" t="str">
        <f ca="1">IF(B247="","",IF(ISERROR(MATCH($J247,SorP!$B$1:$B$6230,0)),"",INDIRECT("'SorP'!$A$"&amp;MATCH($J247,SorP!$B$1:$B$6230,0))))</f>
        <v>KR-41</v>
      </c>
      <c r="U247" s="238"/>
      <c r="V247" s="270">
        <f ca="1">IF(C247="",NA(),MATCH($B247&amp;$C247,'Smelter Look-up'!$J:$J,0))</f>
        <v>187</v>
      </c>
      <c r="W247" s="271"/>
      <c r="X247" s="271">
        <f t="shared" ca="1" si="34"/>
        <v>0</v>
      </c>
      <c r="Y247" s="271"/>
      <c r="Z247" s="271"/>
      <c r="AB247" s="273" t="str">
        <f t="shared" ca="1" si="35"/>
        <v>GoldNH Recytech Company</v>
      </c>
    </row>
    <row r="248" spans="1:28" s="272" customFormat="1" ht="114.75">
      <c r="A248" s="214" t="s">
        <v>1827</v>
      </c>
      <c r="B248" s="215" t="str">
        <f ca="1">IF(LEN(A248)=0,"",INDEX('Smelter Look-up'!$A:$A,MATCH($A248,'Smelter Look-up'!$E:$E,0)))</f>
        <v>Tin</v>
      </c>
      <c r="C248" s="219" t="str">
        <f ca="1">IF(LEN(A248)=0,"",INDEX('Smelter Look-up'!$C:$C,MATCH($A248,'Smelter Look-up'!$E:$E,0)))</f>
        <v>Tuyen Quang Non-Ferrous Metals Joint Stock Company</v>
      </c>
      <c r="D248" s="278"/>
      <c r="E248" s="215" t="str">
        <f ca="1">IF(ISERROR($V248),"",OFFSET('Smelter Look-up'!$D$4,$V248-4,0)&amp;"")</f>
        <v>VIET NAM</v>
      </c>
      <c r="F248" s="215" t="str">
        <f ca="1">IF(ISERROR($V248),"",OFFSET('Smelter Look-up'!$E$4,$V248-4,0))</f>
        <v>CID002574</v>
      </c>
      <c r="G248" s="215" t="str">
        <f ca="1">IF(C248=$X$4,"Enter smelter details",IF(ISERROR($V248),"",OFFSET('Smelter Look-up'!$F$4,$V248-4,0)))</f>
        <v>RMI</v>
      </c>
      <c r="H248" s="216">
        <f ca="1">IF(ISERROR($V248),"",OFFSET('Smelter Look-up'!$G$4,$V248-4,0))</f>
        <v>0</v>
      </c>
      <c r="I248" s="217" t="str">
        <f ca="1">IF(ISERROR($V248),"",OFFSET('Smelter Look-up'!$H$4,$V248-4,0))</f>
        <v>Tan Quang</v>
      </c>
      <c r="J248" s="217" t="str">
        <f ca="1">IF(ISERROR($V248),"",OFFSET('Smelter Look-up'!$I$4,$V248-4,0))</f>
        <v>Tuyên Quang</v>
      </c>
      <c r="K248" s="268"/>
      <c r="L248" s="268"/>
      <c r="M248" s="268"/>
      <c r="N248" s="268"/>
      <c r="O248" s="268"/>
      <c r="P248" s="218"/>
      <c r="Q248" s="269"/>
      <c r="R248" s="215" t="str">
        <f ca="1">IF(ISERROR($V248),"",OFFSET('Smelter Look-up'!$C$4,$V248-4,0)&amp;"")</f>
        <v>Tuyen Quang Non-Ferrous Metals Joint Stock Company</v>
      </c>
      <c r="S248" s="222" t="str">
        <f t="shared" ca="1" si="33"/>
        <v>VN</v>
      </c>
      <c r="T248" s="222" t="str">
        <f ca="1">IF(B248="","",IF(ISERROR(MATCH($J248,SorP!$B$1:$B$6230,0)),"",INDIRECT("'SorP'!$A$"&amp;MATCH($J248,SorP!$B$1:$B$6230,0))))</f>
        <v>VN-07</v>
      </c>
      <c r="U248" s="238"/>
      <c r="V248" s="270">
        <f ca="1">IF(C248="",NA(),MATCH($B248&amp;$C248,'Smelter Look-up'!$J:$J,0))</f>
        <v>509</v>
      </c>
      <c r="W248" s="271"/>
      <c r="X248" s="271">
        <f t="shared" ca="1" si="34"/>
        <v>0</v>
      </c>
      <c r="Y248" s="271"/>
      <c r="Z248" s="271"/>
      <c r="AB248" s="273" t="str">
        <f t="shared" ca="1" si="35"/>
        <v>TinTuyen Quang Non-Ferrous Metals Joint Stock Company</v>
      </c>
    </row>
    <row r="249" spans="1:28" s="272" customFormat="1" ht="63.75">
      <c r="A249" s="214" t="s">
        <v>1713</v>
      </c>
      <c r="B249" s="215" t="str">
        <f ca="1">IF(LEN(A249)=0,"",INDEX('Smelter Look-up'!$A:$A,MATCH($A249,'Smelter Look-up'!$E:$E,0)))</f>
        <v>Gold</v>
      </c>
      <c r="C249" s="219" t="str">
        <f ca="1">IF(LEN(A249)=0,"",INDEX('Smelter Look-up'!$C:$C,MATCH($A249,'Smelter Look-up'!$E:$E,0)))</f>
        <v>Al Etihad Gold Refinery DMCC</v>
      </c>
      <c r="D249" s="278"/>
      <c r="E249" s="215" t="str">
        <f ca="1">IF(ISERROR($V249),"",OFFSET('Smelter Look-up'!$D$4,$V249-4,0)&amp;"")</f>
        <v>UNITED ARAB EMIRATES</v>
      </c>
      <c r="F249" s="215" t="str">
        <f ca="1">IF(ISERROR($V249),"",OFFSET('Smelter Look-up'!$E$4,$V249-4,0))</f>
        <v>CID002560</v>
      </c>
      <c r="G249" s="215" t="str">
        <f ca="1">IF(C249=$X$4,"Enter smelter details",IF(ISERROR($V249),"",OFFSET('Smelter Look-up'!$F$4,$V249-4,0)))</f>
        <v>RMI</v>
      </c>
      <c r="H249" s="216">
        <f ca="1">IF(ISERROR($V249),"",OFFSET('Smelter Look-up'!$G$4,$V249-4,0))</f>
        <v>0</v>
      </c>
      <c r="I249" s="217" t="str">
        <f ca="1">IF(ISERROR($V249),"",OFFSET('Smelter Look-up'!$H$4,$V249-4,0))</f>
        <v>Dubai</v>
      </c>
      <c r="J249" s="217" t="str">
        <f ca="1">IF(ISERROR($V249),"",OFFSET('Smelter Look-up'!$I$4,$V249-4,0))</f>
        <v>Dubayy</v>
      </c>
      <c r="K249" s="268"/>
      <c r="L249" s="268"/>
      <c r="M249" s="268"/>
      <c r="N249" s="268"/>
      <c r="O249" s="268"/>
      <c r="P249" s="218"/>
      <c r="Q249" s="269"/>
      <c r="R249" s="215" t="str">
        <f ca="1">IF(ISERROR($V249),"",OFFSET('Smelter Look-up'!$C$4,$V249-4,0)&amp;"")</f>
        <v>Al Etihad Gold Refinery DMCC</v>
      </c>
      <c r="S249" s="222" t="str">
        <f t="shared" ca="1" si="33"/>
        <v>AE</v>
      </c>
      <c r="T249" s="222" t="str">
        <f ca="1">IF(B249="","",IF(ISERROR(MATCH($J249,SorP!$B$1:$B$6230,0)),"",INDIRECT("'SorP'!$A$"&amp;MATCH($J249,SorP!$B$1:$B$6230,0))))</f>
        <v>AE-DU</v>
      </c>
      <c r="U249" s="238"/>
      <c r="V249" s="270">
        <f ca="1">IF(C249="",NA(),MATCH($B249&amp;$C249,'Smelter Look-up'!$J:$J,0))</f>
        <v>14</v>
      </c>
      <c r="W249" s="271"/>
      <c r="X249" s="271">
        <f t="shared" ca="1" si="34"/>
        <v>0</v>
      </c>
      <c r="Y249" s="271"/>
      <c r="Z249" s="271"/>
      <c r="AB249" s="273" t="str">
        <f t="shared" ca="1" si="35"/>
        <v>GoldAl Etihad Gold Refinery DMCC</v>
      </c>
    </row>
    <row r="250" spans="1:28" s="272" customFormat="1" ht="51">
      <c r="A250" s="214" t="s">
        <v>1716</v>
      </c>
      <c r="B250" s="215" t="str">
        <f ca="1">IF(LEN(A250)=0,"",INDEX('Smelter Look-up'!$A:$A,MATCH($A250,'Smelter Look-up'!$E:$E,0)))</f>
        <v>Gold</v>
      </c>
      <c r="C250" s="219" t="str">
        <f ca="1">IF(LEN(A250)=0,"",INDEX('Smelter Look-up'!$C:$C,MATCH($A250,'Smelter Look-up'!$E:$E,0)))</f>
        <v>Emirates Gold DMCC</v>
      </c>
      <c r="D250" s="278"/>
      <c r="E250" s="215" t="str">
        <f ca="1">IF(ISERROR($V250),"",OFFSET('Smelter Look-up'!$D$4,$V250-4,0)&amp;"")</f>
        <v>UNITED ARAB EMIRATES</v>
      </c>
      <c r="F250" s="215" t="str">
        <f ca="1">IF(ISERROR($V250),"",OFFSET('Smelter Look-up'!$E$4,$V250-4,0))</f>
        <v>CID002561</v>
      </c>
      <c r="G250" s="215" t="str">
        <f ca="1">IF(C250=$X$4,"Enter smelter details",IF(ISERROR($V250),"",OFFSET('Smelter Look-up'!$F$4,$V250-4,0)))</f>
        <v>RMI</v>
      </c>
      <c r="H250" s="216">
        <f ca="1">IF(ISERROR($V250),"",OFFSET('Smelter Look-up'!$G$4,$V250-4,0))</f>
        <v>0</v>
      </c>
      <c r="I250" s="217" t="str">
        <f ca="1">IF(ISERROR($V250),"",OFFSET('Smelter Look-up'!$H$4,$V250-4,0))</f>
        <v>Dubai</v>
      </c>
      <c r="J250" s="217" t="str">
        <f ca="1">IF(ISERROR($V250),"",OFFSET('Smelter Look-up'!$I$4,$V250-4,0))</f>
        <v>Dubayy</v>
      </c>
      <c r="K250" s="268"/>
      <c r="L250" s="268"/>
      <c r="M250" s="268"/>
      <c r="N250" s="268"/>
      <c r="O250" s="268"/>
      <c r="P250" s="218"/>
      <c r="Q250" s="269"/>
      <c r="R250" s="215" t="str">
        <f ca="1">IF(ISERROR($V250),"",OFFSET('Smelter Look-up'!$C$4,$V250-4,0)&amp;"")</f>
        <v>Emirates Gold DMCC</v>
      </c>
      <c r="S250" s="222" t="str">
        <f t="shared" ca="1" si="33"/>
        <v>AE</v>
      </c>
      <c r="T250" s="222" t="str">
        <f ca="1">IF(B250="","",IF(ISERROR(MATCH($J250,SorP!$B$1:$B$6230,0)),"",INDIRECT("'SorP'!$A$"&amp;MATCH($J250,SorP!$B$1:$B$6230,0))))</f>
        <v>AE-DU</v>
      </c>
      <c r="U250" s="238"/>
      <c r="V250" s="270">
        <f ca="1">IF(C250="",NA(),MATCH($B250&amp;$C250,'Smelter Look-up'!$J:$J,0))</f>
        <v>78</v>
      </c>
      <c r="W250" s="271"/>
      <c r="X250" s="271">
        <f t="shared" ca="1" si="34"/>
        <v>0</v>
      </c>
      <c r="Y250" s="271"/>
      <c r="Z250" s="271"/>
      <c r="AB250" s="273" t="str">
        <f t="shared" ca="1" si="35"/>
        <v>GoldEmirates Gold DMCC</v>
      </c>
    </row>
    <row r="251" spans="1:28" s="272" customFormat="1" ht="76.5">
      <c r="A251" s="214" t="s">
        <v>14015</v>
      </c>
      <c r="B251" s="215" t="str">
        <f ca="1">IF(LEN(A251)=0,"",INDEX('Smelter Look-up'!$A:$A,MATCH($A251,'Smelter Look-up'!$E:$E,0)))</f>
        <v>Gold</v>
      </c>
      <c r="C251" s="219" t="str">
        <f ca="1">IF(LEN(A251)=0,"",INDEX('Smelter Look-up'!$C:$C,MATCH($A251,'Smelter Look-up'!$E:$E,0)))</f>
        <v>International Precious Metal Refiners</v>
      </c>
      <c r="D251" s="278"/>
      <c r="E251" s="215" t="str">
        <f ca="1">IF(ISERROR($V251),"",OFFSET('Smelter Look-up'!$D$4,$V251-4,0)&amp;"")</f>
        <v>UNITED ARAB EMIRATES</v>
      </c>
      <c r="F251" s="215" t="str">
        <f ca="1">IF(ISERROR($V251),"",OFFSET('Smelter Look-up'!$E$4,$V251-4,0))</f>
        <v>CID002562</v>
      </c>
      <c r="G251" s="215" t="str">
        <f ca="1">IF(C251=$X$4,"Enter smelter details",IF(ISERROR($V251),"",OFFSET('Smelter Look-up'!$F$4,$V251-4,0)))</f>
        <v>RMI</v>
      </c>
      <c r="H251" s="216">
        <f ca="1">IF(ISERROR($V251),"",OFFSET('Smelter Look-up'!$G$4,$V251-4,0))</f>
        <v>0</v>
      </c>
      <c r="I251" s="217" t="str">
        <f ca="1">IF(ISERROR($V251),"",OFFSET('Smelter Look-up'!$H$4,$V251-4,0))</f>
        <v>Dubai</v>
      </c>
      <c r="J251" s="217" t="str">
        <f ca="1">IF(ISERROR($V251),"",OFFSET('Smelter Look-up'!$I$4,$V251-4,0))</f>
        <v>Dubayy</v>
      </c>
      <c r="K251" s="268"/>
      <c r="L251" s="268"/>
      <c r="M251" s="268"/>
      <c r="N251" s="268"/>
      <c r="O251" s="268"/>
      <c r="P251" s="218"/>
      <c r="Q251" s="269"/>
      <c r="R251" s="215" t="str">
        <f ca="1">IF(ISERROR($V251),"",OFFSET('Smelter Look-up'!$C$4,$V251-4,0)&amp;"")</f>
        <v>International Precious Metal Refiners</v>
      </c>
      <c r="S251" s="222" t="str">
        <f t="shared" ca="1" si="33"/>
        <v>AE</v>
      </c>
      <c r="T251" s="222" t="str">
        <f ca="1">IF(B251="","",IF(ISERROR(MATCH($J251,SorP!$B$1:$B$6230,0)),"",INDIRECT("'SorP'!$A$"&amp;MATCH($J251,SorP!$B$1:$B$6230,0))))</f>
        <v>AE-DU</v>
      </c>
      <c r="U251" s="238"/>
      <c r="V251" s="270">
        <f ca="1">IF(C251="",NA(),MATCH($B251&amp;$C251,'Smelter Look-up'!$J:$J,0))</f>
        <v>113</v>
      </c>
      <c r="W251" s="271"/>
      <c r="X251" s="271">
        <f t="shared" ca="1" si="34"/>
        <v>0</v>
      </c>
      <c r="Y251" s="271"/>
      <c r="Z251" s="271"/>
      <c r="AB251" s="273" t="str">
        <f t="shared" ca="1" si="35"/>
        <v>GoldInternational Precious Metal Refiners</v>
      </c>
    </row>
    <row r="252" spans="1:28" s="272" customFormat="1" ht="89.25">
      <c r="A252" s="214" t="s">
        <v>2468</v>
      </c>
      <c r="B252" s="215" t="str">
        <f ca="1">IF(LEN(A252)=0,"",INDEX('Smelter Look-up'!$A:$A,MATCH($A252,'Smelter Look-up'!$E:$E,0)))</f>
        <v>Gold</v>
      </c>
      <c r="C252" s="219" t="str">
        <f ca="1">IF(LEN(A252)=0,"",INDEX('Smelter Look-up'!$C:$C,MATCH($A252,'Smelter Look-up'!$E:$E,0)))</f>
        <v>Degussa Sonne / Mond Goldhandel GmbH</v>
      </c>
      <c r="D252" s="278"/>
      <c r="E252" s="215" t="str">
        <f ca="1">IF(ISERROR($V252),"",OFFSET('Smelter Look-up'!$D$4,$V252-4,0)&amp;"")</f>
        <v>GERMANY</v>
      </c>
      <c r="F252" s="215" t="str">
        <f ca="1">IF(ISERROR($V252),"",OFFSET('Smelter Look-up'!$E$4,$V252-4,0))</f>
        <v>CID002867</v>
      </c>
      <c r="G252" s="215" t="str">
        <f ca="1">IF(C252=$X$4,"Enter smelter details",IF(ISERROR($V252),"",OFFSET('Smelter Look-up'!$F$4,$V252-4,0)))</f>
        <v>RMI</v>
      </c>
      <c r="H252" s="216">
        <f ca="1">IF(ISERROR($V252),"",OFFSET('Smelter Look-up'!$G$4,$V252-4,0))</f>
        <v>0</v>
      </c>
      <c r="I252" s="217" t="str">
        <f ca="1">IF(ISERROR($V252),"",OFFSET('Smelter Look-up'!$H$4,$V252-4,0))</f>
        <v>Pforzheim</v>
      </c>
      <c r="J252" s="217" t="str">
        <f ca="1">IF(ISERROR($V252),"",OFFSET('Smelter Look-up'!$I$4,$V252-4,0))</f>
        <v>Baden-Württemberg</v>
      </c>
      <c r="K252" s="268"/>
      <c r="L252" s="268"/>
      <c r="M252" s="268"/>
      <c r="N252" s="268"/>
      <c r="O252" s="268"/>
      <c r="P252" s="218"/>
      <c r="Q252" s="269"/>
      <c r="R252" s="215" t="str">
        <f ca="1">IF(ISERROR($V252),"",OFFSET('Smelter Look-up'!$C$4,$V252-4,0)&amp;"")</f>
        <v>Degussa Sonne / Mond Goldhandel GmbH</v>
      </c>
      <c r="S252" s="222" t="str">
        <f t="shared" ca="1" si="33"/>
        <v>DE</v>
      </c>
      <c r="T252" s="222" t="str">
        <f ca="1">IF(B252="","",IF(ISERROR(MATCH($J252,SorP!$B$1:$B$6230,0)),"",INDIRECT("'SorP'!$A$"&amp;MATCH($J252,SorP!$B$1:$B$6230,0))))</f>
        <v>DE-BW</v>
      </c>
      <c r="U252" s="238"/>
      <c r="V252" s="270">
        <f ca="1">IF(C252="",NA(),MATCH($B252&amp;$C252,'Smelter Look-up'!$J:$J,0))</f>
        <v>58</v>
      </c>
      <c r="W252" s="271"/>
      <c r="X252" s="271">
        <f t="shared" ca="1" si="34"/>
        <v>0</v>
      </c>
      <c r="Y252" s="271"/>
      <c r="Z252" s="271"/>
      <c r="AB252" s="273" t="str">
        <f t="shared" ca="1" si="35"/>
        <v>GoldDegussa Sonne / Mond Goldhandel GmbH</v>
      </c>
    </row>
    <row r="253" spans="1:28" s="272" customFormat="1" ht="51">
      <c r="A253" s="214" t="s">
        <v>14011</v>
      </c>
      <c r="B253" s="215" t="str">
        <f ca="1">IF(LEN(A253)=0,"",INDEX('Smelter Look-up'!$A:$A,MATCH($A253,'Smelter Look-up'!$E:$E,0)))</f>
        <v>Gold</v>
      </c>
      <c r="C253" s="219" t="str">
        <f ca="1">IF(LEN(A253)=0,"",INDEX('Smelter Look-up'!$C:$C,MATCH($A253,'Smelter Look-up'!$E:$E,0)))</f>
        <v>Dijllah Gold Refinery FZC</v>
      </c>
      <c r="D253" s="278"/>
      <c r="E253" s="215" t="str">
        <f ca="1">IF(ISERROR($V253),"",OFFSET('Smelter Look-up'!$D$4,$V253-4,0)&amp;"")</f>
        <v>UNITED ARAB EMIRATES</v>
      </c>
      <c r="F253" s="215" t="str">
        <f ca="1">IF(ISERROR($V253),"",OFFSET('Smelter Look-up'!$E$4,$V253-4,0))</f>
        <v>CID003348</v>
      </c>
      <c r="G253" s="215" t="str">
        <f ca="1">IF(C253=$X$4,"Enter smelter details",IF(ISERROR($V253),"",OFFSET('Smelter Look-up'!$F$4,$V253-4,0)))</f>
        <v>RMI</v>
      </c>
      <c r="H253" s="216">
        <f ca="1">IF(ISERROR($V253),"",OFFSET('Smelter Look-up'!$G$4,$V253-4,0))</f>
        <v>0</v>
      </c>
      <c r="I253" s="217" t="str">
        <f ca="1">IF(ISERROR($V253),"",OFFSET('Smelter Look-up'!$H$4,$V253-4,0))</f>
        <v>Sharjah</v>
      </c>
      <c r="J253" s="217" t="str">
        <f ca="1">IF(ISERROR($V253),"",OFFSET('Smelter Look-up'!$I$4,$V253-4,0))</f>
        <v>Ash Shāriqah</v>
      </c>
      <c r="K253" s="268"/>
      <c r="L253" s="268"/>
      <c r="M253" s="268"/>
      <c r="N253" s="268"/>
      <c r="O253" s="268"/>
      <c r="P253" s="218"/>
      <c r="Q253" s="269"/>
      <c r="R253" s="215" t="str">
        <f ca="1">IF(ISERROR($V253),"",OFFSET('Smelter Look-up'!$C$4,$V253-4,0)&amp;"")</f>
        <v>Dijllah Gold Refinery FZC</v>
      </c>
      <c r="S253" s="222" t="str">
        <f t="shared" ca="1" si="33"/>
        <v>AE</v>
      </c>
      <c r="T253" s="222" t="str">
        <f ca="1">IF(B253="","",IF(ISERROR(MATCH($J253,SorP!$B$1:$B$6230,0)),"",INDIRECT("'SorP'!$A$"&amp;MATCH($J253,SorP!$B$1:$B$6230,0))))</f>
        <v>AE-SH</v>
      </c>
      <c r="U253" s="238"/>
      <c r="V253" s="270">
        <f ca="1">IF(C253="",NA(),MATCH($B253&amp;$C253,'Smelter Look-up'!$J:$J,0))</f>
        <v>59</v>
      </c>
      <c r="W253" s="271"/>
      <c r="X253" s="271">
        <f t="shared" ca="1" si="34"/>
        <v>0</v>
      </c>
      <c r="Y253" s="271"/>
      <c r="Z253" s="271"/>
      <c r="AB253" s="273" t="str">
        <f t="shared" ca="1" si="35"/>
        <v>GoldDijllah Gold Refinery FZC</v>
      </c>
    </row>
    <row r="254" spans="1:28" s="272" customFormat="1" ht="38.25">
      <c r="A254" s="214" t="s">
        <v>15338</v>
      </c>
      <c r="B254" s="215" t="str">
        <f ca="1">IF(LEN(A254)=0,"",INDEX('Smelter Look-up'!$A:$A,MATCH($A254,'Smelter Look-up'!$E:$E,0)))</f>
        <v>Gold</v>
      </c>
      <c r="C254" s="219" t="str">
        <f ca="1">IF(LEN(A254)=0,"",INDEX('Smelter Look-up'!$C:$C,MATCH($A254,'Smelter Look-up'!$E:$E,0)))</f>
        <v>K.A. Rasmussen</v>
      </c>
      <c r="D254" s="278"/>
      <c r="E254" s="215" t="str">
        <f ca="1">IF(ISERROR($V254),"",OFFSET('Smelter Look-up'!$D$4,$V254-4,0)&amp;"")</f>
        <v>NORWAY</v>
      </c>
      <c r="F254" s="215" t="str">
        <f ca="1">IF(ISERROR($V254),"",OFFSET('Smelter Look-up'!$E$4,$V254-4,0))</f>
        <v>CID003497</v>
      </c>
      <c r="G254" s="215" t="str">
        <f ca="1">IF(C254=$X$4,"Enter smelter details",IF(ISERROR($V254),"",OFFSET('Smelter Look-up'!$F$4,$V254-4,0)))</f>
        <v>RMI</v>
      </c>
      <c r="H254" s="216">
        <f ca="1">IF(ISERROR($V254),"",OFFSET('Smelter Look-up'!$G$4,$V254-4,0))</f>
        <v>0</v>
      </c>
      <c r="I254" s="217" t="str">
        <f ca="1">IF(ISERROR($V254),"",OFFSET('Smelter Look-up'!$H$4,$V254-4,0))</f>
        <v>Hamar</v>
      </c>
      <c r="J254" s="217" t="str">
        <f ca="1">IF(ISERROR($V254),"",OFFSET('Smelter Look-up'!$I$4,$V254-4,0))</f>
        <v>Hedmarken</v>
      </c>
      <c r="K254" s="268"/>
      <c r="L254" s="268"/>
      <c r="M254" s="268"/>
      <c r="N254" s="268"/>
      <c r="O254" s="268"/>
      <c r="P254" s="218"/>
      <c r="Q254" s="269"/>
      <c r="R254" s="215" t="str">
        <f ca="1">IF(ISERROR($V254),"",OFFSET('Smelter Look-up'!$C$4,$V254-4,0)&amp;"")</f>
        <v>K.A. Rasmussen</v>
      </c>
      <c r="S254" s="222" t="str">
        <f t="shared" ca="1" si="33"/>
        <v>NO</v>
      </c>
      <c r="T254" s="222" t="str">
        <f ca="1">IF(B254="","",IF(ISERROR(MATCH($J254,SorP!$B$1:$B$6230,0)),"",INDIRECT("'SorP'!$A$"&amp;MATCH($J254,SorP!$B$1:$B$6230,0))))</f>
        <v/>
      </c>
      <c r="U254" s="238"/>
      <c r="V254" s="270">
        <f ca="1">IF(C254="",NA(),MATCH($B254&amp;$C254,'Smelter Look-up'!$J:$J,0))</f>
        <v>129</v>
      </c>
      <c r="W254" s="271"/>
      <c r="X254" s="271">
        <f t="shared" ca="1" si="34"/>
        <v>0</v>
      </c>
      <c r="Y254" s="271"/>
      <c r="Z254" s="271"/>
      <c r="AB254" s="273" t="str">
        <f t="shared" ca="1" si="35"/>
        <v>GoldK.A. Rasmussen</v>
      </c>
    </row>
    <row r="255" spans="1:28" s="272" customFormat="1" ht="25.5">
      <c r="A255" s="214" t="s">
        <v>2347</v>
      </c>
      <c r="B255" s="215" t="str">
        <f ca="1">IF(LEN(A255)=0,"",INDEX('Smelter Look-up'!$A:$A,MATCH($A255,'Smelter Look-up'!$E:$E,0)))</f>
        <v>Gold</v>
      </c>
      <c r="C255" s="219" t="str">
        <f ca="1">IF(LEN(A255)=0,"",INDEX('Smelter Look-up'!$C:$C,MATCH($A255,'Smelter Look-up'!$E:$E,0)))</f>
        <v>Sai Refinery</v>
      </c>
      <c r="D255" s="278"/>
      <c r="E255" s="215" t="str">
        <f ca="1">IF(ISERROR($V255),"",OFFSET('Smelter Look-up'!$D$4,$V255-4,0)&amp;"")</f>
        <v>INDIA</v>
      </c>
      <c r="F255" s="215" t="str">
        <f ca="1">IF(ISERROR($V255),"",OFFSET('Smelter Look-up'!$E$4,$V255-4,0))</f>
        <v>CID002853</v>
      </c>
      <c r="G255" s="215" t="str">
        <f ca="1">IF(C255=$X$4,"Enter smelter details",IF(ISERROR($V255),"",OFFSET('Smelter Look-up'!$F$4,$V255-4,0)))</f>
        <v>RMI</v>
      </c>
      <c r="H255" s="216">
        <f ca="1">IF(ISERROR($V255),"",OFFSET('Smelter Look-up'!$G$4,$V255-4,0))</f>
        <v>0</v>
      </c>
      <c r="I255" s="217" t="str">
        <f ca="1">IF(ISERROR($V255),"",OFFSET('Smelter Look-up'!$H$4,$V255-4,0))</f>
        <v>Parwanoo</v>
      </c>
      <c r="J255" s="217" t="str">
        <f ca="1">IF(ISERROR($V255),"",OFFSET('Smelter Look-up'!$I$4,$V255-4,0))</f>
        <v>Himachal Pradesh</v>
      </c>
      <c r="K255" s="268"/>
      <c r="L255" s="268"/>
      <c r="M255" s="268"/>
      <c r="N255" s="268"/>
      <c r="O255" s="268"/>
      <c r="P255" s="218"/>
      <c r="Q255" s="269"/>
      <c r="R255" s="215" t="str">
        <f ca="1">IF(ISERROR($V255),"",OFFSET('Smelter Look-up'!$C$4,$V255-4,0)&amp;"")</f>
        <v>Sai Refinery</v>
      </c>
      <c r="S255" s="222" t="str">
        <f t="shared" ca="1" si="33"/>
        <v>IN</v>
      </c>
      <c r="T255" s="222" t="str">
        <f ca="1">IF(B255="","",IF(ISERROR(MATCH($J255,SorP!$B$1:$B$6230,0)),"",INDIRECT("'SorP'!$A$"&amp;MATCH($J255,SorP!$B$1:$B$6230,0))))</f>
        <v>IN-HP</v>
      </c>
      <c r="U255" s="238"/>
      <c r="V255" s="270">
        <f ca="1">IF(C255="",NA(),MATCH($B255&amp;$C255,'Smelter Look-up'!$J:$J,0))</f>
        <v>221</v>
      </c>
      <c r="W255" s="271"/>
      <c r="X255" s="271">
        <f t="shared" ca="1" si="34"/>
        <v>0</v>
      </c>
      <c r="Y255" s="271"/>
      <c r="Z255" s="271"/>
      <c r="AB255" s="273" t="str">
        <f t="shared" ca="1" si="35"/>
        <v>GoldSai Refinery</v>
      </c>
    </row>
    <row r="256" spans="1:28" s="272" customFormat="1" ht="89.25">
      <c r="A256" s="214" t="s">
        <v>2539</v>
      </c>
      <c r="B256" s="215" t="str">
        <f ca="1">IF(LEN(A256)=0,"",INDEX('Smelter Look-up'!$A:$A,MATCH($A256,'Smelter Look-up'!$E:$E,0)))</f>
        <v>Gold</v>
      </c>
      <c r="C256" s="219" t="str">
        <f ca="1">IF(LEN(A256)=0,"",INDEX('Smelter Look-up'!$C:$C,MATCH($A256,'Smelter Look-up'!$E:$E,0)))</f>
        <v>Kyshtym Copper-Electrolytic Plant ZAO</v>
      </c>
      <c r="D256" s="278"/>
      <c r="E256" s="215" t="str">
        <f ca="1">IF(ISERROR($V256),"",OFFSET('Smelter Look-up'!$D$4,$V256-4,0)&amp;"")</f>
        <v>RUSSIAN FEDERATION</v>
      </c>
      <c r="F256" s="215" t="str">
        <f ca="1">IF(ISERROR($V256),"",OFFSET('Smelter Look-up'!$E$4,$V256-4,0))</f>
        <v>CID002865</v>
      </c>
      <c r="G256" s="215" t="str">
        <f ca="1">IF(C256=$X$4,"Enter smelter details",IF(ISERROR($V256),"",OFFSET('Smelter Look-up'!$F$4,$V256-4,0)))</f>
        <v>RMI</v>
      </c>
      <c r="H256" s="216">
        <f ca="1">IF(ISERROR($V256),"",OFFSET('Smelter Look-up'!$G$4,$V256-4,0))</f>
        <v>0</v>
      </c>
      <c r="I256" s="217" t="str">
        <f ca="1">IF(ISERROR($V256),"",OFFSET('Smelter Look-up'!$H$4,$V256-4,0))</f>
        <v>Kyshtym</v>
      </c>
      <c r="J256" s="217" t="str">
        <f ca="1">IF(ISERROR($V256),"",OFFSET('Smelter Look-up'!$I$4,$V256-4,0))</f>
        <v>Chelyabinskaya oblast'</v>
      </c>
      <c r="K256" s="268"/>
      <c r="L256" s="268"/>
      <c r="M256" s="268"/>
      <c r="N256" s="268"/>
      <c r="O256" s="268"/>
      <c r="P256" s="218"/>
      <c r="Q256" s="269"/>
      <c r="R256" s="215" t="str">
        <f ca="1">IF(ISERROR($V256),"",OFFSET('Smelter Look-up'!$C$4,$V256-4,0)&amp;"")</f>
        <v>Kyshtym Copper-Electrolytic Plant ZAO</v>
      </c>
      <c r="S256" s="222" t="str">
        <f t="shared" ca="1" si="33"/>
        <v>RU</v>
      </c>
      <c r="T256" s="222" t="str">
        <f ca="1">IF(B256="","",IF(ISERROR(MATCH($J256,SorP!$B$1:$B$6230,0)),"",INDIRECT("'SorP'!$A$"&amp;MATCH($J256,SorP!$B$1:$B$6230,0))))</f>
        <v>RU-CHE</v>
      </c>
      <c r="U256" s="238"/>
      <c r="V256" s="270">
        <f ca="1">IF(C256="",NA(),MATCH($B256&amp;$C256,'Smelter Look-up'!$J:$J,0))</f>
        <v>145</v>
      </c>
      <c r="W256" s="271"/>
      <c r="X256" s="271">
        <f t="shared" ca="1" si="34"/>
        <v>0</v>
      </c>
      <c r="Y256" s="271"/>
      <c r="Z256" s="271"/>
      <c r="AB256" s="273" t="str">
        <f t="shared" ca="1" si="35"/>
        <v>GoldKyshtym Copper-Electrolytic Plant ZAO</v>
      </c>
    </row>
    <row r="257" spans="1:28" s="272" customFormat="1" ht="38.25">
      <c r="A257" s="214" t="s">
        <v>2337</v>
      </c>
      <c r="B257" s="215" t="str">
        <f ca="1">IF(LEN(A257)=0,"",INDEX('Smelter Look-up'!$A:$A,MATCH($A257,'Smelter Look-up'!$E:$E,0)))</f>
        <v>Gold</v>
      </c>
      <c r="C257" s="219" t="str">
        <f ca="1">IF(LEN(A257)=0,"",INDEX('Smelter Look-up'!$C:$C,MATCH($A257,'Smelter Look-up'!$E:$E,0)))</f>
        <v>Modeltech Sdn Bhd</v>
      </c>
      <c r="D257" s="278"/>
      <c r="E257" s="215" t="str">
        <f ca="1">IF(ISERROR($V257),"",OFFSET('Smelter Look-up'!$D$4,$V257-4,0)&amp;"")</f>
        <v>MALAYSIA</v>
      </c>
      <c r="F257" s="215" t="str">
        <f ca="1">IF(ISERROR($V257),"",OFFSET('Smelter Look-up'!$E$4,$V257-4,0))</f>
        <v>CID002857</v>
      </c>
      <c r="G257" s="215" t="str">
        <f ca="1">IF(C257=$X$4,"Enter smelter details",IF(ISERROR($V257),"",OFFSET('Smelter Look-up'!$F$4,$V257-4,0)))</f>
        <v>RMI</v>
      </c>
      <c r="H257" s="216">
        <f ca="1">IF(ISERROR($V257),"",OFFSET('Smelter Look-up'!$G$4,$V257-4,0))</f>
        <v>0</v>
      </c>
      <c r="I257" s="217" t="str">
        <f ca="1">IF(ISERROR($V257),"",OFFSET('Smelter Look-up'!$H$4,$V257-4,0))</f>
        <v>Kawasan Perindustrian Bukit Rambai</v>
      </c>
      <c r="J257" s="217" t="str">
        <f ca="1">IF(ISERROR($V257),"",OFFSET('Smelter Look-up'!$I$4,$V257-4,0))</f>
        <v>Melaka</v>
      </c>
      <c r="K257" s="268"/>
      <c r="L257" s="268"/>
      <c r="M257" s="268"/>
      <c r="N257" s="268"/>
      <c r="O257" s="268"/>
      <c r="P257" s="218"/>
      <c r="Q257" s="269"/>
      <c r="R257" s="215" t="str">
        <f ca="1">IF(ISERROR($V257),"",OFFSET('Smelter Look-up'!$C$4,$V257-4,0)&amp;"")</f>
        <v>Modeltech Sdn Bhd</v>
      </c>
      <c r="S257" s="222" t="str">
        <f t="shared" ca="1" si="33"/>
        <v>MY</v>
      </c>
      <c r="T257" s="222" t="str">
        <f ca="1">IF(B257="","",IF(ISERROR(MATCH($J257,SorP!$B$1:$B$6230,0)),"",INDIRECT("'SorP'!$A$"&amp;MATCH($J257,SorP!$B$1:$B$6230,0))))</f>
        <v>MY-04</v>
      </c>
      <c r="U257" s="238"/>
      <c r="V257" s="270">
        <f ca="1">IF(C257="",NA(),MATCH($B257&amp;$C257,'Smelter Look-up'!$J:$J,0))</f>
        <v>181</v>
      </c>
      <c r="W257" s="271"/>
      <c r="X257" s="271">
        <f t="shared" ca="1" si="34"/>
        <v>0</v>
      </c>
      <c r="Y257" s="271"/>
      <c r="Z257" s="271"/>
      <c r="AB257" s="273" t="str">
        <f t="shared" ca="1" si="35"/>
        <v>GoldModeltech Sdn Bhd</v>
      </c>
    </row>
    <row r="258" spans="1:28" s="272" customFormat="1" ht="38.25">
      <c r="A258" s="214" t="s">
        <v>2372</v>
      </c>
      <c r="B258" s="215" t="str">
        <f ca="1">IF(LEN(A258)=0,"",INDEX('Smelter Look-up'!$A:$A,MATCH($A258,'Smelter Look-up'!$E:$E,0)))</f>
        <v>Tin</v>
      </c>
      <c r="C258" s="219" t="str">
        <f ca="1">IF(LEN(A258)=0,"",INDEX('Smelter Look-up'!$C:$C,MATCH($A258,'Smelter Look-up'!$E:$E,0)))</f>
        <v>Modeltech Sdn Bhd</v>
      </c>
      <c r="D258" s="278"/>
      <c r="E258" s="215" t="str">
        <f ca="1">IF(ISERROR($V258),"",OFFSET('Smelter Look-up'!$D$4,$V258-4,0)&amp;"")</f>
        <v>MALAYSIA</v>
      </c>
      <c r="F258" s="215" t="str">
        <f ca="1">IF(ISERROR($V258),"",OFFSET('Smelter Look-up'!$E$4,$V258-4,0))</f>
        <v>CID002858</v>
      </c>
      <c r="G258" s="215" t="str">
        <f ca="1">IF(C258=$X$4,"Enter smelter details",IF(ISERROR($V258),"",OFFSET('Smelter Look-up'!$F$4,$V258-4,0)))</f>
        <v>RMI</v>
      </c>
      <c r="H258" s="216">
        <f ca="1">IF(ISERROR($V258),"",OFFSET('Smelter Look-up'!$G$4,$V258-4,0))</f>
        <v>0</v>
      </c>
      <c r="I258" s="217" t="str">
        <f ca="1">IF(ISERROR($V258),"",OFFSET('Smelter Look-up'!$H$4,$V258-4,0))</f>
        <v>Kawasan Perindustrian Bukit Rambai</v>
      </c>
      <c r="J258" s="217" t="str">
        <f ca="1">IF(ISERROR($V258),"",OFFSET('Smelter Look-up'!$I$4,$V258-4,0))</f>
        <v>Melaka</v>
      </c>
      <c r="K258" s="268"/>
      <c r="L258" s="268"/>
      <c r="M258" s="268"/>
      <c r="N258" s="268"/>
      <c r="O258" s="268"/>
      <c r="P258" s="218"/>
      <c r="Q258" s="269"/>
      <c r="R258" s="215" t="str">
        <f ca="1">IF(ISERROR($V258),"",OFFSET('Smelter Look-up'!$C$4,$V258-4,0)&amp;"")</f>
        <v>Modeltech Sdn Bhd</v>
      </c>
      <c r="S258" s="222" t="str">
        <f t="shared" ca="1" si="33"/>
        <v>MY</v>
      </c>
      <c r="T258" s="222" t="str">
        <f ca="1">IF(B258="","",IF(ISERROR(MATCH($J258,SorP!$B$1:$B$6230,0)),"",INDIRECT("'SorP'!$A$"&amp;MATCH($J258,SorP!$B$1:$B$6230,0))))</f>
        <v>MY-04</v>
      </c>
      <c r="U258" s="238"/>
      <c r="V258" s="270">
        <f ca="1">IF(C258="",NA(),MATCH($B258&amp;$C258,'Smelter Look-up'!$J:$J,0))</f>
        <v>462</v>
      </c>
      <c r="W258" s="271"/>
      <c r="X258" s="271">
        <f t="shared" ca="1" si="34"/>
        <v>0</v>
      </c>
      <c r="Y258" s="271"/>
      <c r="Z258" s="271"/>
      <c r="AB258" s="273" t="str">
        <f t="shared" ca="1" si="35"/>
        <v>TinModeltech Sdn Bhd</v>
      </c>
    </row>
    <row r="259" spans="1:28" s="272" customFormat="1" ht="38.25">
      <c r="A259" s="214" t="s">
        <v>13398</v>
      </c>
      <c r="B259" s="215" t="str">
        <f ca="1">IF(LEN(A259)=0,"",INDEX('Smelter Look-up'!$A:$A,MATCH($A259,'Smelter Look-up'!$E:$E,0)))</f>
        <v>Gold</v>
      </c>
      <c r="C259" s="219" t="str">
        <f ca="1">IF(LEN(A259)=0,"",INDEX('Smelter Look-up'!$C:$C,MATCH($A259,'Smelter Look-up'!$E:$E,0)))</f>
        <v>QG Refining, LLC</v>
      </c>
      <c r="D259" s="278"/>
      <c r="E259" s="215" t="str">
        <f ca="1">IF(ISERROR($V259),"",OFFSET('Smelter Look-up'!$D$4,$V259-4,0)&amp;"")</f>
        <v>UNITED STATES OF AMERICA</v>
      </c>
      <c r="F259" s="215" t="str">
        <f ca="1">IF(ISERROR($V259),"",OFFSET('Smelter Look-up'!$E$4,$V259-4,0))</f>
        <v>CID003324</v>
      </c>
      <c r="G259" s="215" t="str">
        <f ca="1">IF(C259=$X$4,"Enter smelter details",IF(ISERROR($V259),"",OFFSET('Smelter Look-up'!$F$4,$V259-4,0)))</f>
        <v>RMI</v>
      </c>
      <c r="H259" s="216">
        <f ca="1">IF(ISERROR($V259),"",OFFSET('Smelter Look-up'!$G$4,$V259-4,0))</f>
        <v>0</v>
      </c>
      <c r="I259" s="217" t="str">
        <f ca="1">IF(ISERROR($V259),"",OFFSET('Smelter Look-up'!$H$4,$V259-4,0))</f>
        <v>Fairfield</v>
      </c>
      <c r="J259" s="217" t="str">
        <f ca="1">IF(ISERROR($V259),"",OFFSET('Smelter Look-up'!$I$4,$V259-4,0))</f>
        <v>Ohio</v>
      </c>
      <c r="K259" s="268"/>
      <c r="L259" s="268"/>
      <c r="M259" s="268"/>
      <c r="N259" s="268"/>
      <c r="O259" s="268"/>
      <c r="P259" s="218"/>
      <c r="Q259" s="269"/>
      <c r="R259" s="215" t="str">
        <f ca="1">IF(ISERROR($V259),"",OFFSET('Smelter Look-up'!$C$4,$V259-4,0)&amp;"")</f>
        <v>QG Refining, LLC</v>
      </c>
      <c r="S259" s="222" t="str">
        <f t="shared" ca="1" si="33"/>
        <v>US</v>
      </c>
      <c r="T259" s="222" t="str">
        <f ca="1">IF(B259="","",IF(ISERROR(MATCH($J259,SorP!$B$1:$B$6230,0)),"",INDIRECT("'SorP'!$A$"&amp;MATCH($J259,SorP!$B$1:$B$6230,0))))</f>
        <v>US-OH</v>
      </c>
      <c r="U259" s="238"/>
      <c r="V259" s="270">
        <f ca="1">IF(C259="",NA(),MATCH($B259&amp;$C259,'Smelter Look-up'!$J:$J,0))</f>
        <v>209</v>
      </c>
      <c r="W259" s="271"/>
      <c r="X259" s="271">
        <f t="shared" ca="1" si="34"/>
        <v>0</v>
      </c>
      <c r="Y259" s="271"/>
      <c r="Z259" s="271"/>
      <c r="AB259" s="273" t="str">
        <f t="shared" ca="1" si="35"/>
        <v>GoldQG Refining, LLC</v>
      </c>
    </row>
    <row r="260" spans="1:28" s="272" customFormat="1" ht="63.75">
      <c r="A260" s="214" t="s">
        <v>14109</v>
      </c>
      <c r="B260" s="215" t="str">
        <f ca="1">IF(LEN(A260)=0,"",INDEX('Smelter Look-up'!$A:$A,MATCH($A260,'Smelter Look-up'!$E:$E,0)))</f>
        <v>Tin</v>
      </c>
      <c r="C260" s="219" t="str">
        <f ca="1">IF(LEN(A260)=0,"",INDEX('Smelter Look-up'!$C:$C,MATCH($A260,'Smelter Look-up'!$E:$E,0)))</f>
        <v>PT Mitra Sukses Globalindo</v>
      </c>
      <c r="D260" s="278"/>
      <c r="E260" s="215" t="str">
        <f ca="1">IF(ISERROR($V260),"",OFFSET('Smelter Look-up'!$D$4,$V260-4,0)&amp;"")</f>
        <v>INDONESIA</v>
      </c>
      <c r="F260" s="215" t="str">
        <f ca="1">IF(ISERROR($V260),"",OFFSET('Smelter Look-up'!$E$4,$V260-4,0))</f>
        <v>CID003449</v>
      </c>
      <c r="G260" s="215" t="str">
        <f ca="1">IF(C260=$X$4,"Enter smelter details",IF(ISERROR($V260),"",OFFSET('Smelter Look-up'!$F$4,$V260-4,0)))</f>
        <v>RMI</v>
      </c>
      <c r="H260" s="216">
        <f ca="1">IF(ISERROR($V260),"",OFFSET('Smelter Look-up'!$G$4,$V260-4,0))</f>
        <v>0</v>
      </c>
      <c r="I260" s="217" t="str">
        <f ca="1">IF(ISERROR($V260),"",OFFSET('Smelter Look-up'!$H$4,$V260-4,0))</f>
        <v>Pangkalpinang</v>
      </c>
      <c r="J260" s="217" t="str">
        <f ca="1">IF(ISERROR($V260),"",OFFSET('Smelter Look-up'!$I$4,$V260-4,0))</f>
        <v>Kepulauan Bangka Belitung</v>
      </c>
      <c r="K260" s="268"/>
      <c r="L260" s="268"/>
      <c r="M260" s="268"/>
      <c r="N260" s="268"/>
      <c r="O260" s="268"/>
      <c r="P260" s="218"/>
      <c r="Q260" s="269"/>
      <c r="R260" s="215" t="str">
        <f ca="1">IF(ISERROR($V260),"",OFFSET('Smelter Look-up'!$C$4,$V260-4,0)&amp;"")</f>
        <v>PT Mitra Sukses Globalindo</v>
      </c>
      <c r="S260" s="222" t="str">
        <f t="shared" ref="S260" ca="1" si="36">IF(B260="","",IF(ISERROR(MATCH($E260,CL,0)),"Unknown",INDIRECT("'C'!$A$"&amp;MATCH($E260,CL,0)+1)))</f>
        <v>ID</v>
      </c>
      <c r="T260" s="222" t="str">
        <f ca="1">IF(B260="","",IF(ISERROR(MATCH($J260,SorP!$B$1:$B$6230,0)),"",INDIRECT("'SorP'!$A$"&amp;MATCH($J260,SorP!$B$1:$B$6230,0))))</f>
        <v>ID-BB</v>
      </c>
      <c r="U260" s="238"/>
      <c r="V260" s="270">
        <f ca="1">IF(C260="",NA(),MATCH($B260&amp;$C260,'Smelter Look-up'!$J:$J,0))</f>
        <v>483</v>
      </c>
      <c r="W260" s="271"/>
      <c r="X260" s="271">
        <f t="shared" ref="X260" ca="1" si="37">IF(AND(C260="Smelter not listed",OR(LEN(D260)=0,LEN(E260)=0)),1,0)</f>
        <v>0</v>
      </c>
      <c r="Y260" s="271"/>
      <c r="Z260" s="271"/>
      <c r="AB260" s="273" t="str">
        <f t="shared" ref="AB260" ca="1" si="38">B260&amp;C260</f>
        <v>TinPT Mitra Sukses Globalindo</v>
      </c>
    </row>
    <row r="261" spans="1:28" s="272" customFormat="1" ht="153">
      <c r="A261" s="214" t="s">
        <v>15370</v>
      </c>
      <c r="B261" s="215" t="str">
        <f ca="1">IF(LEN(A261)=0,"",INDEX('Smelter Look-up'!$A:$A,MATCH($A261,'Smelter Look-up'!$E:$E,0)))</f>
        <v>Tin</v>
      </c>
      <c r="C261" s="219" t="str">
        <f ca="1">IF(LEN(A261)=0,"",INDEX('Smelter Look-up'!$C:$C,MATCH($A261,'Smelter Look-up'!$E:$E,0)))</f>
        <v>CRM Fundicao De Metais E Comercio De Equipamentos Eletronicos Do Brasil Ltda</v>
      </c>
      <c r="D261" s="278"/>
      <c r="E261" s="215" t="str">
        <f ca="1">IF(ISERROR($V261),"",OFFSET('Smelter Look-up'!$D$4,$V261-4,0)&amp;"")</f>
        <v>BRAZIL</v>
      </c>
      <c r="F261" s="215" t="str">
        <f ca="1">IF(ISERROR($V261),"",OFFSET('Smelter Look-up'!$E$4,$V261-4,0))</f>
        <v>CID003486</v>
      </c>
      <c r="G261" s="215" t="str">
        <f ca="1">IF(C261=$X$4,"Enter smelter details",IF(ISERROR($V261),"",OFFSET('Smelter Look-up'!$F$4,$V261-4,0)))</f>
        <v>RMI</v>
      </c>
      <c r="H261" s="216">
        <f ca="1">IF(ISERROR($V261),"",OFFSET('Smelter Look-up'!$G$4,$V261-4,0))</f>
        <v>0</v>
      </c>
      <c r="I261" s="217" t="str">
        <f ca="1">IF(ISERROR($V261),"",OFFSET('Smelter Look-up'!$H$4,$V261-4,0))</f>
        <v>São José</v>
      </c>
      <c r="J261" s="217" t="str">
        <f ca="1">IF(ISERROR($V261),"",OFFSET('Smelter Look-up'!$I$4,$V261-4,0))</f>
        <v>Santa Catarina</v>
      </c>
      <c r="K261" s="268"/>
      <c r="L261" s="268"/>
      <c r="M261" s="268"/>
      <c r="N261" s="268"/>
      <c r="O261" s="268"/>
      <c r="P261" s="218"/>
      <c r="Q261" s="269"/>
      <c r="R261" s="215" t="str">
        <f ca="1">IF(ISERROR($V261),"",OFFSET('Smelter Look-up'!$C$4,$V261-4,0)&amp;"")</f>
        <v>CRM Fundicao De Metais E Comercio De Equipamentos Eletronicos Do Brasil Ltda</v>
      </c>
      <c r="S261" s="222" t="str">
        <f t="shared" ref="S261:S292" ca="1" si="39">IF(B261="","",IF(ISERROR(MATCH($E261,CL,0)),"Unknown",INDIRECT("'C'!$A$"&amp;MATCH($E261,CL,0)+1)))</f>
        <v>BR</v>
      </c>
      <c r="T261" s="222" t="str">
        <f ca="1">IF(B261="","",IF(ISERROR(MATCH($J261,SorP!$B$1:$B$6230,0)),"",INDIRECT("'SorP'!$A$"&amp;MATCH($J261,SorP!$B$1:$B$6230,0))))</f>
        <v>BR-SC</v>
      </c>
      <c r="U261" s="238"/>
      <c r="V261" s="270">
        <f ca="1">IF(C261="",NA(),MATCH($B261&amp;$C261,'Smelter Look-up'!$J:$J,0))</f>
        <v>401</v>
      </c>
      <c r="W261" s="271"/>
      <c r="X261" s="271">
        <f t="shared" ref="X261:X292" ca="1" si="40">IF(AND(C261="Smelter not listed",OR(LEN(D261)=0,LEN(E261)=0)),1,0)</f>
        <v>0</v>
      </c>
      <c r="Y261" s="271"/>
      <c r="Z261" s="271"/>
      <c r="AB261" s="273" t="str">
        <f t="shared" ref="AB261:AB292" ca="1" si="41">B261&amp;C261</f>
        <v>TinCRM Fundicao De Metais E Comercio De Equipamentos Eletronicos Do Brasil Ltda</v>
      </c>
    </row>
    <row r="262" spans="1:28" s="272" customFormat="1" ht="51">
      <c r="A262" s="214" t="s">
        <v>15347</v>
      </c>
      <c r="B262" s="215" t="str">
        <f ca="1">IF(LEN(A262)=0,"",INDEX('Smelter Look-up'!$A:$A,MATCH($A262,'Smelter Look-up'!$E:$E,0)))</f>
        <v>Gold</v>
      </c>
      <c r="C262" s="219" t="str">
        <f ca="1">IF(LEN(A262)=0,"",INDEX('Smelter Look-up'!$C:$C,MATCH($A262,'Smelter Look-up'!$E:$E,0)))</f>
        <v>Sancus ZFS (L’Orfebre, SA)</v>
      </c>
      <c r="D262" s="278"/>
      <c r="E262" s="215" t="str">
        <f ca="1">IF(ISERROR($V262),"",OFFSET('Smelter Look-up'!$D$4,$V262-4,0)&amp;"")</f>
        <v>COLOMBIA</v>
      </c>
      <c r="F262" s="215" t="str">
        <f ca="1">IF(ISERROR($V262),"",OFFSET('Smelter Look-up'!$E$4,$V262-4,0))</f>
        <v>CID003529</v>
      </c>
      <c r="G262" s="215" t="str">
        <f ca="1">IF(C262=$X$4,"Enter smelter details",IF(ISERROR($V262),"",OFFSET('Smelter Look-up'!$F$4,$V262-4,0)))</f>
        <v>RMI</v>
      </c>
      <c r="H262" s="216">
        <f ca="1">IF(ISERROR($V262),"",OFFSET('Smelter Look-up'!$G$4,$V262-4,0))</f>
        <v>0</v>
      </c>
      <c r="I262" s="217" t="str">
        <f ca="1">IF(ISERROR($V262),"",OFFSET('Smelter Look-up'!$H$4,$V262-4,0))</f>
        <v>Barranquilla</v>
      </c>
      <c r="J262" s="217" t="str">
        <f ca="1">IF(ISERROR($V262),"",OFFSET('Smelter Look-up'!$I$4,$V262-4,0))</f>
        <v>Atlántico</v>
      </c>
      <c r="K262" s="268"/>
      <c r="L262" s="268"/>
      <c r="M262" s="268"/>
      <c r="N262" s="268"/>
      <c r="O262" s="268"/>
      <c r="P262" s="218"/>
      <c r="Q262" s="269"/>
      <c r="R262" s="215" t="str">
        <f ca="1">IF(ISERROR($V262),"",OFFSET('Smelter Look-up'!$C$4,$V262-4,0)&amp;"")</f>
        <v>Sancus ZFS (L’Orfebre, SA)</v>
      </c>
      <c r="S262" s="222" t="str">
        <f t="shared" ca="1" si="39"/>
        <v>CO</v>
      </c>
      <c r="T262" s="222" t="str">
        <f ca="1">IF(B262="","",IF(ISERROR(MATCH($J262,SorP!$B$1:$B$6230,0)),"",INDIRECT("'SorP'!$A$"&amp;MATCH($J262,SorP!$B$1:$B$6230,0))))</f>
        <v>CO-ATL</v>
      </c>
      <c r="U262" s="238"/>
      <c r="V262" s="270">
        <f ca="1">IF(C262="",NA(),MATCH($B262&amp;$C262,'Smelter Look-up'!$J:$J,0))</f>
        <v>225</v>
      </c>
      <c r="W262" s="271"/>
      <c r="X262" s="271">
        <f t="shared" ca="1" si="40"/>
        <v>0</v>
      </c>
      <c r="Y262" s="271"/>
      <c r="Z262" s="271"/>
      <c r="AB262" s="273" t="str">
        <f t="shared" ca="1" si="41"/>
        <v>GoldSancus ZFS (L’Orfebre, SA)</v>
      </c>
    </row>
    <row r="263" spans="1:28" s="272" customFormat="1" ht="89.25">
      <c r="A263" s="214" t="s">
        <v>15343</v>
      </c>
      <c r="B263" s="215" t="str">
        <f ca="1">IF(LEN(A263)=0,"",INDEX('Smelter Look-up'!$A:$A,MATCH($A263,'Smelter Look-up'!$E:$E,0)))</f>
        <v>Gold</v>
      </c>
      <c r="C263" s="219" t="str">
        <f ca="1">IF(LEN(A263)=0,"",INDEX('Smelter Look-up'!$C:$C,MATCH($A263,'Smelter Look-up'!$E:$E,0)))</f>
        <v>Metal Concentrators SA (Pty) Ltd.</v>
      </c>
      <c r="D263" s="278"/>
      <c r="E263" s="215" t="str">
        <f ca="1">IF(ISERROR($V263),"",OFFSET('Smelter Look-up'!$D$4,$V263-4,0)&amp;"")</f>
        <v>SOUTH AFRICA</v>
      </c>
      <c r="F263" s="215" t="str">
        <f ca="1">IF(ISERROR($V263),"",OFFSET('Smelter Look-up'!$E$4,$V263-4,0))</f>
        <v>CID003575</v>
      </c>
      <c r="G263" s="215" t="str">
        <f ca="1">IF(C263=$X$4,"Enter smelter details",IF(ISERROR($V263),"",OFFSET('Smelter Look-up'!$F$4,$V263-4,0)))</f>
        <v>RMI</v>
      </c>
      <c r="H263" s="216">
        <f ca="1">IF(ISERROR($V263),"",OFFSET('Smelter Look-up'!$G$4,$V263-4,0))</f>
        <v>0</v>
      </c>
      <c r="I263" s="217" t="str">
        <f ca="1">IF(ISERROR($V263),"",OFFSET('Smelter Look-up'!$H$4,$V263-4,0))</f>
        <v>Centurion</v>
      </c>
      <c r="J263" s="217" t="str">
        <f ca="1">IF(ISERROR($V263),"",OFFSET('Smelter Look-up'!$I$4,$V263-4,0))</f>
        <v>Gauteng</v>
      </c>
      <c r="K263" s="268"/>
      <c r="L263" s="268"/>
      <c r="M263" s="268"/>
      <c r="N263" s="268"/>
      <c r="O263" s="268"/>
      <c r="P263" s="218"/>
      <c r="Q263" s="269"/>
      <c r="R263" s="215" t="str">
        <f ca="1">IF(ISERROR($V263),"",OFFSET('Smelter Look-up'!$C$4,$V263-4,0)&amp;"")</f>
        <v>Metal Concentrators SA (Pty) Ltd.</v>
      </c>
      <c r="S263" s="222" t="str">
        <f t="shared" ca="1" si="39"/>
        <v>ZA</v>
      </c>
      <c r="T263" s="222" t="str">
        <f ca="1">IF(B263="","",IF(ISERROR(MATCH($J263,SorP!$B$1:$B$6230,0)),"",INDIRECT("'SorP'!$A$"&amp;MATCH($J263,SorP!$B$1:$B$6230,0))))</f>
        <v>ZA-GT</v>
      </c>
      <c r="U263" s="238"/>
      <c r="V263" s="270">
        <f ca="1">IF(C263="",NA(),MATCH($B263&amp;$C263,'Smelter Look-up'!$J:$J,0))</f>
        <v>163</v>
      </c>
      <c r="W263" s="271"/>
      <c r="X263" s="271">
        <f t="shared" ca="1" si="40"/>
        <v>0</v>
      </c>
      <c r="Y263" s="271"/>
      <c r="Z263" s="271"/>
      <c r="AB263" s="273" t="str">
        <f t="shared" ca="1" si="41"/>
        <v>GoldMetal Concentrators SA (Pty) Ltd.</v>
      </c>
    </row>
    <row r="264" spans="1:28" s="272" customFormat="1" ht="20.100000000000001" customHeight="1">
      <c r="A264" s="214" t="s">
        <v>15630</v>
      </c>
      <c r="B264" s="215" t="s">
        <v>1130</v>
      </c>
      <c r="C264" s="358" t="s">
        <v>1866</v>
      </c>
      <c r="D264" s="278" t="s">
        <v>15673</v>
      </c>
      <c r="E264" s="215" t="s">
        <v>1100</v>
      </c>
      <c r="F264" s="215" t="s">
        <v>15630</v>
      </c>
      <c r="G264" s="215" t="s">
        <v>13459</v>
      </c>
      <c r="H264" s="359">
        <v>0</v>
      </c>
      <c r="I264" s="360">
        <v>0</v>
      </c>
      <c r="J264" s="360">
        <v>0</v>
      </c>
      <c r="K264" s="268"/>
      <c r="L264" s="268"/>
      <c r="M264" s="268"/>
      <c r="N264" s="268"/>
      <c r="O264" s="268"/>
      <c r="P264" s="218"/>
      <c r="Q264" s="269"/>
      <c r="R264" s="215" t="str">
        <f ca="1">IF(ISERROR($V264),"",OFFSET('Smelter Look-up'!$C$4,$V264-4,0)&amp;"")</f>
        <v/>
      </c>
      <c r="S264" s="222" t="str">
        <f t="shared" ca="1" si="39"/>
        <v>CN</v>
      </c>
      <c r="T264" s="222" t="str">
        <f ca="1">IF(B264="","",IF(ISERROR(MATCH($J264,SorP!$B$1:$B$6230,0)),"",INDIRECT("'SorP'!$A$"&amp;MATCH($J264,SorP!$B$1:$B$6230,0))))</f>
        <v/>
      </c>
      <c r="U264" s="238"/>
      <c r="V264" s="270">
        <f>IF(C264="",NA(),MATCH($B264&amp;$C264,'Smelter Look-up'!$J:$J,0))</f>
        <v>313</v>
      </c>
      <c r="W264" s="271"/>
      <c r="X264" s="271">
        <f t="shared" si="40"/>
        <v>0</v>
      </c>
      <c r="Y264" s="271"/>
      <c r="Z264" s="271"/>
      <c r="AB264" s="273" t="str">
        <f t="shared" si="41"/>
        <v>GoldSmelter not listed</v>
      </c>
    </row>
    <row r="265" spans="1:28" s="272" customFormat="1" ht="20.100000000000001" customHeight="1">
      <c r="A265" s="214" t="s">
        <v>15631</v>
      </c>
      <c r="B265" s="215" t="s">
        <v>1131</v>
      </c>
      <c r="C265" s="358" t="s">
        <v>15674</v>
      </c>
      <c r="D265" s="278"/>
      <c r="E265" s="215" t="s">
        <v>1100</v>
      </c>
      <c r="F265" s="215" t="s">
        <v>15631</v>
      </c>
      <c r="G265" s="215" t="s">
        <v>13459</v>
      </c>
      <c r="H265" s="359">
        <v>0</v>
      </c>
      <c r="I265" s="360" t="s">
        <v>1787</v>
      </c>
      <c r="J265" s="360" t="s">
        <v>13842</v>
      </c>
      <c r="K265" s="268"/>
      <c r="L265" s="268"/>
      <c r="M265" s="268"/>
      <c r="N265" s="268"/>
      <c r="O265" s="268"/>
      <c r="P265" s="218"/>
      <c r="Q265" s="269"/>
      <c r="R265" s="215" t="str">
        <f ca="1">IF(ISERROR($V265),"",OFFSET('Smelter Look-up'!$C$4,$V265-4,0)&amp;"")</f>
        <v/>
      </c>
      <c r="S265" s="222" t="str">
        <f t="shared" ca="1" si="39"/>
        <v>CN</v>
      </c>
      <c r="T265" s="222" t="str">
        <f ca="1">IF(B265="","",IF(ISERROR(MATCH($J265,SorP!$B$1:$B$6230,0)),"",INDIRECT("'SorP'!$A$"&amp;MATCH($J265,SorP!$B$1:$B$6230,0))))</f>
        <v>CN-JX</v>
      </c>
      <c r="U265" s="238"/>
      <c r="V265" s="270" t="e">
        <f>IF(C265="",NA(),MATCH($B265&amp;$C265,'Smelter Look-up'!$J:$J,0))</f>
        <v>#N/A</v>
      </c>
      <c r="W265" s="271"/>
      <c r="X265" s="271">
        <f t="shared" si="40"/>
        <v>0</v>
      </c>
      <c r="Y265" s="271"/>
      <c r="Z265" s="271"/>
      <c r="AB265" s="273" t="str">
        <f t="shared" si="41"/>
        <v>TinHuichang Jinshunda Tin Co., Ltd.</v>
      </c>
    </row>
    <row r="266" spans="1:28" s="272" customFormat="1" ht="20.100000000000001" customHeight="1">
      <c r="A266" s="357" t="s">
        <v>15632</v>
      </c>
      <c r="B266" s="215" t="s">
        <v>1130</v>
      </c>
      <c r="C266" s="358" t="s">
        <v>1866</v>
      </c>
      <c r="D266" s="278" t="s">
        <v>15675</v>
      </c>
      <c r="E266" s="215" t="s">
        <v>1111</v>
      </c>
      <c r="F266" s="215" t="s">
        <v>15632</v>
      </c>
      <c r="G266" s="215" t="s">
        <v>13459</v>
      </c>
      <c r="H266" s="359">
        <v>0</v>
      </c>
      <c r="I266" s="360">
        <v>0</v>
      </c>
      <c r="J266" s="360">
        <v>0</v>
      </c>
      <c r="K266" s="268"/>
      <c r="L266" s="268"/>
      <c r="M266" s="268"/>
      <c r="N266" s="268"/>
      <c r="O266" s="268"/>
      <c r="P266" s="218"/>
      <c r="Q266" s="269"/>
      <c r="R266" s="215" t="str">
        <f ca="1">IF(ISERROR($V266),"",OFFSET('Smelter Look-up'!$C$4,$V266-4,0)&amp;"")</f>
        <v/>
      </c>
      <c r="S266" s="222" t="str">
        <f t="shared" ca="1" si="39"/>
        <v>KR</v>
      </c>
      <c r="T266" s="222" t="str">
        <f ca="1">IF(B266="","",IF(ISERROR(MATCH($J266,SorP!$B$1:$B$6230,0)),"",INDIRECT("'SorP'!$A$"&amp;MATCH($J266,SorP!$B$1:$B$6230,0))))</f>
        <v/>
      </c>
      <c r="U266" s="238"/>
      <c r="V266" s="270">
        <f>IF(C266="",NA(),MATCH($B266&amp;$C266,'Smelter Look-up'!$J:$J,0))</f>
        <v>313</v>
      </c>
      <c r="W266" s="271"/>
      <c r="X266" s="271">
        <f t="shared" si="40"/>
        <v>0</v>
      </c>
      <c r="Y266" s="271"/>
      <c r="Z266" s="271"/>
      <c r="AB266" s="273" t="str">
        <f t="shared" si="41"/>
        <v>GoldSmelter not listed</v>
      </c>
    </row>
    <row r="267" spans="1:28" s="272" customFormat="1" ht="20.100000000000001" customHeight="1">
      <c r="A267" s="357" t="s">
        <v>15633</v>
      </c>
      <c r="B267" s="215" t="s">
        <v>1130</v>
      </c>
      <c r="C267" s="358" t="s">
        <v>2226</v>
      </c>
      <c r="D267" s="278"/>
      <c r="E267" s="215" t="s">
        <v>1093</v>
      </c>
      <c r="F267" s="215" t="s">
        <v>15633</v>
      </c>
      <c r="G267" s="215" t="s">
        <v>13459</v>
      </c>
      <c r="H267" s="359">
        <v>0</v>
      </c>
      <c r="I267" s="360" t="s">
        <v>15687</v>
      </c>
      <c r="J267" s="360" t="s">
        <v>2482</v>
      </c>
      <c r="K267" s="268"/>
      <c r="L267" s="268"/>
      <c r="M267" s="268"/>
      <c r="N267" s="268"/>
      <c r="O267" s="268"/>
      <c r="P267" s="218"/>
      <c r="Q267" s="269"/>
      <c r="R267" s="215" t="str">
        <f ca="1">IF(ISERROR($V267),"",OFFSET('Smelter Look-up'!$C$4,$V267-4,0)&amp;"")</f>
        <v>Morris and Watson</v>
      </c>
      <c r="S267" s="222" t="str">
        <f t="shared" ca="1" si="39"/>
        <v>AU</v>
      </c>
      <c r="T267" s="222" t="str">
        <f ca="1">IF(B267="","",IF(ISERROR(MATCH($J267,SorP!$B$1:$B$6230,0)),"",INDIRECT("'SorP'!$A$"&amp;MATCH($J267,SorP!$B$1:$B$6230,0))))</f>
        <v>AU-QLD</v>
      </c>
      <c r="U267" s="238"/>
      <c r="V267" s="270">
        <f>IF(C267="",NA(),MATCH($B267&amp;$C267,'Smelter Look-up'!$J:$J,0))</f>
        <v>182</v>
      </c>
      <c r="W267" s="271"/>
      <c r="X267" s="271">
        <f t="shared" si="40"/>
        <v>0</v>
      </c>
      <c r="Y267" s="271"/>
      <c r="Z267" s="271"/>
      <c r="AB267" s="273" t="str">
        <f t="shared" si="41"/>
        <v>GoldMorris and Watson</v>
      </c>
    </row>
    <row r="268" spans="1:28" s="272" customFormat="1" ht="20.100000000000001" customHeight="1">
      <c r="A268" s="357" t="s">
        <v>15634</v>
      </c>
      <c r="B268" s="215" t="s">
        <v>1130</v>
      </c>
      <c r="C268" s="358" t="s">
        <v>1866</v>
      </c>
      <c r="D268" s="278" t="s">
        <v>15676</v>
      </c>
      <c r="E268" s="215" t="s">
        <v>2463</v>
      </c>
      <c r="F268" s="215" t="s">
        <v>15634</v>
      </c>
      <c r="G268" s="215" t="s">
        <v>13459</v>
      </c>
      <c r="H268" s="359">
        <v>0</v>
      </c>
      <c r="I268" s="360" t="s">
        <v>15688</v>
      </c>
      <c r="J268" s="360" t="s">
        <v>1706</v>
      </c>
      <c r="K268" s="268"/>
      <c r="L268" s="268"/>
      <c r="M268" s="268"/>
      <c r="N268" s="268"/>
      <c r="O268" s="268"/>
      <c r="P268" s="218"/>
      <c r="Q268" s="269"/>
      <c r="R268" s="215" t="str">
        <f ca="1">IF(ISERROR($V268),"",OFFSET('Smelter Look-up'!$C$4,$V268-4,0)&amp;"")</f>
        <v/>
      </c>
      <c r="S268" s="222" t="str">
        <f t="shared" ca="1" si="39"/>
        <v>US</v>
      </c>
      <c r="T268" s="222" t="str">
        <f ca="1">IF(B268="","",IF(ISERROR(MATCH($J268,SorP!$B$1:$B$6230,0)),"",INDIRECT("'SorP'!$A$"&amp;MATCH($J268,SorP!$B$1:$B$6230,0))))</f>
        <v>US-FL</v>
      </c>
      <c r="U268" s="238"/>
      <c r="V268" s="270">
        <f>IF(C268="",NA(),MATCH($B268&amp;$C268,'Smelter Look-up'!$J:$J,0))</f>
        <v>313</v>
      </c>
      <c r="W268" s="271"/>
      <c r="X268" s="271">
        <f t="shared" si="40"/>
        <v>0</v>
      </c>
      <c r="Y268" s="271"/>
      <c r="Z268" s="271"/>
      <c r="AB268" s="273" t="str">
        <f t="shared" si="41"/>
        <v>GoldSmelter not listed</v>
      </c>
    </row>
    <row r="269" spans="1:28" s="272" customFormat="1" ht="20.100000000000001" customHeight="1">
      <c r="A269" s="357" t="s">
        <v>15635</v>
      </c>
      <c r="B269" s="215" t="s">
        <v>1130</v>
      </c>
      <c r="C269" s="358" t="s">
        <v>1866</v>
      </c>
      <c r="D269" s="278" t="s">
        <v>15677</v>
      </c>
      <c r="E269" s="215" t="s">
        <v>1096</v>
      </c>
      <c r="F269" s="215" t="s">
        <v>15635</v>
      </c>
      <c r="G269" s="215" t="s">
        <v>13459</v>
      </c>
      <c r="H269" s="359">
        <v>0</v>
      </c>
      <c r="I269" s="360" t="s">
        <v>15689</v>
      </c>
      <c r="J269" s="360" t="s">
        <v>15690</v>
      </c>
      <c r="K269" s="268"/>
      <c r="L269" s="268"/>
      <c r="M269" s="268"/>
      <c r="N269" s="268"/>
      <c r="O269" s="268"/>
      <c r="P269" s="218"/>
      <c r="Q269" s="269"/>
      <c r="R269" s="215" t="str">
        <f ca="1">IF(ISERROR($V269),"",OFFSET('Smelter Look-up'!$C$4,$V269-4,0)&amp;"")</f>
        <v/>
      </c>
      <c r="S269" s="222" t="str">
        <f t="shared" ca="1" si="39"/>
        <v>BR</v>
      </c>
      <c r="T269" s="222" t="str">
        <f ca="1">IF(B269="","",IF(ISERROR(MATCH($J269,SorP!$B$1:$B$6230,0)),"",INDIRECT("'SorP'!$A$"&amp;MATCH($J269,SorP!$B$1:$B$6230,0))))</f>
        <v/>
      </c>
      <c r="U269" s="238"/>
      <c r="V269" s="270">
        <f>IF(C269="",NA(),MATCH($B269&amp;$C269,'Smelter Look-up'!$J:$J,0))</f>
        <v>313</v>
      </c>
      <c r="W269" s="271"/>
      <c r="X269" s="271">
        <f t="shared" si="40"/>
        <v>0</v>
      </c>
      <c r="Y269" s="271"/>
      <c r="Z269" s="271"/>
      <c r="AB269" s="273" t="str">
        <f t="shared" si="41"/>
        <v>GoldSmelter not listed</v>
      </c>
    </row>
    <row r="270" spans="1:28" s="272" customFormat="1" ht="20.100000000000001" customHeight="1">
      <c r="A270" s="357" t="s">
        <v>15636</v>
      </c>
      <c r="B270" s="215" t="s">
        <v>1130</v>
      </c>
      <c r="C270" s="358" t="s">
        <v>1866</v>
      </c>
      <c r="D270" s="278" t="s">
        <v>15678</v>
      </c>
      <c r="E270" s="215" t="s">
        <v>894</v>
      </c>
      <c r="F270" s="215" t="s">
        <v>15636</v>
      </c>
      <c r="G270" s="215" t="s">
        <v>13459</v>
      </c>
      <c r="H270" s="359">
        <v>0</v>
      </c>
      <c r="I270" s="360" t="s">
        <v>2359</v>
      </c>
      <c r="J270" s="360" t="s">
        <v>2359</v>
      </c>
      <c r="K270" s="268"/>
      <c r="L270" s="268"/>
      <c r="M270" s="268"/>
      <c r="N270" s="268"/>
      <c r="O270" s="268"/>
      <c r="P270" s="218"/>
      <c r="Q270" s="269"/>
      <c r="R270" s="215" t="str">
        <f ca="1">IF(ISERROR($V270),"",OFFSET('Smelter Look-up'!$C$4,$V270-4,0)&amp;"")</f>
        <v/>
      </c>
      <c r="S270" s="222" t="str">
        <f t="shared" ca="1" si="39"/>
        <v>ZM</v>
      </c>
      <c r="T270" s="222" t="str">
        <f ca="1">IF(B270="","",IF(ISERROR(MATCH($J270,SorP!$B$1:$B$6230,0)),"",INDIRECT("'SorP'!$A$"&amp;MATCH($J270,SorP!$B$1:$B$6230,0))))</f>
        <v>ZM-09</v>
      </c>
      <c r="U270" s="238"/>
      <c r="V270" s="270">
        <f>IF(C270="",NA(),MATCH($B270&amp;$C270,'Smelter Look-up'!$J:$J,0))</f>
        <v>313</v>
      </c>
      <c r="W270" s="271"/>
      <c r="X270" s="271">
        <f t="shared" si="40"/>
        <v>0</v>
      </c>
      <c r="Y270" s="271"/>
      <c r="Z270" s="271"/>
      <c r="AB270" s="273" t="str">
        <f t="shared" si="41"/>
        <v>GoldSmelter not listed</v>
      </c>
    </row>
    <row r="271" spans="1:28" s="272" customFormat="1" ht="20.100000000000001" customHeight="1">
      <c r="A271" s="357" t="s">
        <v>15637</v>
      </c>
      <c r="B271" s="215" t="s">
        <v>1131</v>
      </c>
      <c r="C271" s="358" t="s">
        <v>1866</v>
      </c>
      <c r="D271" s="278" t="s">
        <v>2159</v>
      </c>
      <c r="E271" s="215" t="s">
        <v>1100</v>
      </c>
      <c r="F271" s="215" t="s">
        <v>15637</v>
      </c>
      <c r="G271" s="215" t="s">
        <v>13459</v>
      </c>
      <c r="H271" s="359">
        <v>0</v>
      </c>
      <c r="I271" s="360" t="s">
        <v>1772</v>
      </c>
      <c r="J271" s="360" t="s">
        <v>13826</v>
      </c>
      <c r="K271" s="268"/>
      <c r="L271" s="268"/>
      <c r="M271" s="268"/>
      <c r="N271" s="268"/>
      <c r="O271" s="268"/>
      <c r="P271" s="218"/>
      <c r="Q271" s="269"/>
      <c r="R271" s="215" t="str">
        <f ca="1">IF(ISERROR($V271),"",OFFSET('Smelter Look-up'!$C$4,$V271-4,0)&amp;"")</f>
        <v/>
      </c>
      <c r="S271" s="222" t="str">
        <f t="shared" ca="1" si="39"/>
        <v>CN</v>
      </c>
      <c r="T271" s="222" t="str">
        <f ca="1">IF(B271="","",IF(ISERROR(MATCH($J271,SorP!$B$1:$B$6230,0)),"",INDIRECT("'SorP'!$A$"&amp;MATCH($J271,SorP!$B$1:$B$6230,0))))</f>
        <v>CN-GX</v>
      </c>
      <c r="U271" s="238"/>
      <c r="V271" s="270">
        <f>IF(C271="",NA(),MATCH($B271&amp;$C271,'Smelter Look-up'!$J:$J,0))</f>
        <v>531</v>
      </c>
      <c r="W271" s="271"/>
      <c r="X271" s="271">
        <f t="shared" si="40"/>
        <v>0</v>
      </c>
      <c r="Y271" s="271"/>
      <c r="Z271" s="271"/>
      <c r="AB271" s="273" t="str">
        <f t="shared" si="41"/>
        <v>TinSmelter not listed</v>
      </c>
    </row>
    <row r="272" spans="1:28" s="272" customFormat="1" ht="20.100000000000001" customHeight="1">
      <c r="A272" s="357" t="s">
        <v>15638</v>
      </c>
      <c r="B272" s="215" t="s">
        <v>1131</v>
      </c>
      <c r="C272" s="358" t="s">
        <v>1866</v>
      </c>
      <c r="D272" s="278" t="s">
        <v>15679</v>
      </c>
      <c r="E272" s="215" t="s">
        <v>1105</v>
      </c>
      <c r="F272" s="215" t="s">
        <v>15638</v>
      </c>
      <c r="G272" s="215" t="s">
        <v>13459</v>
      </c>
      <c r="H272" s="359">
        <v>0</v>
      </c>
      <c r="I272" s="360" t="s">
        <v>1780</v>
      </c>
      <c r="J272" s="360" t="s">
        <v>13066</v>
      </c>
      <c r="K272" s="268"/>
      <c r="L272" s="268"/>
      <c r="M272" s="268"/>
      <c r="N272" s="268"/>
      <c r="O272" s="268"/>
      <c r="P272" s="218"/>
      <c r="Q272" s="269"/>
      <c r="R272" s="215" t="str">
        <f ca="1">IF(ISERROR($V272),"",OFFSET('Smelter Look-up'!$C$4,$V272-4,0)&amp;"")</f>
        <v/>
      </c>
      <c r="S272" s="222" t="str">
        <f t="shared" ca="1" si="39"/>
        <v>ID</v>
      </c>
      <c r="T272" s="222" t="str">
        <f ca="1">IF(B272="","",IF(ISERROR(MATCH($J272,SorP!$B$1:$B$6230,0)),"",INDIRECT("'SorP'!$A$"&amp;MATCH($J272,SorP!$B$1:$B$6230,0))))</f>
        <v>ID-BB</v>
      </c>
      <c r="U272" s="238"/>
      <c r="V272" s="270">
        <f>IF(C272="",NA(),MATCH($B272&amp;$C272,'Smelter Look-up'!$J:$J,0))</f>
        <v>531</v>
      </c>
      <c r="W272" s="271"/>
      <c r="X272" s="271">
        <f t="shared" si="40"/>
        <v>0</v>
      </c>
      <c r="Y272" s="271"/>
      <c r="Z272" s="271"/>
      <c r="AB272" s="273" t="str">
        <f t="shared" si="41"/>
        <v>TinSmelter not listed</v>
      </c>
    </row>
    <row r="273" spans="1:28" s="272" customFormat="1" ht="20.100000000000001" customHeight="1">
      <c r="A273" s="357" t="s">
        <v>15639</v>
      </c>
      <c r="B273" s="215" t="s">
        <v>1131</v>
      </c>
      <c r="C273" s="358" t="s">
        <v>1866</v>
      </c>
      <c r="D273" s="278" t="s">
        <v>15680</v>
      </c>
      <c r="E273" s="215" t="s">
        <v>1100</v>
      </c>
      <c r="F273" s="215" t="s">
        <v>15639</v>
      </c>
      <c r="G273" s="215" t="s">
        <v>13459</v>
      </c>
      <c r="H273" s="359">
        <v>0</v>
      </c>
      <c r="I273" s="360" t="s">
        <v>15691</v>
      </c>
      <c r="J273" s="360" t="s">
        <v>13826</v>
      </c>
      <c r="K273" s="268"/>
      <c r="L273" s="268"/>
      <c r="M273" s="268"/>
      <c r="N273" s="268"/>
      <c r="O273" s="268"/>
      <c r="P273" s="218"/>
      <c r="Q273" s="269"/>
      <c r="R273" s="215" t="str">
        <f ca="1">IF(ISERROR($V273),"",OFFSET('Smelter Look-up'!$C$4,$V273-4,0)&amp;"")</f>
        <v/>
      </c>
      <c r="S273" s="222" t="str">
        <f t="shared" ca="1" si="39"/>
        <v>CN</v>
      </c>
      <c r="T273" s="222" t="str">
        <f ca="1">IF(B273="","",IF(ISERROR(MATCH($J273,SorP!$B$1:$B$6230,0)),"",INDIRECT("'SorP'!$A$"&amp;MATCH($J273,SorP!$B$1:$B$6230,0))))</f>
        <v>CN-GX</v>
      </c>
      <c r="U273" s="238"/>
      <c r="V273" s="270">
        <f>IF(C273="",NA(),MATCH($B273&amp;$C273,'Smelter Look-up'!$J:$J,0))</f>
        <v>531</v>
      </c>
      <c r="W273" s="271"/>
      <c r="X273" s="271">
        <f t="shared" si="40"/>
        <v>0</v>
      </c>
      <c r="Y273" s="271"/>
      <c r="Z273" s="271"/>
      <c r="AB273" s="273" t="str">
        <f t="shared" si="41"/>
        <v>TinSmelter not listed</v>
      </c>
    </row>
    <row r="274" spans="1:28" s="272" customFormat="1" ht="20.100000000000001" customHeight="1">
      <c r="A274" s="357" t="s">
        <v>15640</v>
      </c>
      <c r="B274" s="215" t="s">
        <v>1131</v>
      </c>
      <c r="C274" s="358" t="s">
        <v>1866</v>
      </c>
      <c r="D274" s="278" t="s">
        <v>15681</v>
      </c>
      <c r="E274" s="215" t="s">
        <v>1100</v>
      </c>
      <c r="F274" s="215" t="s">
        <v>15640</v>
      </c>
      <c r="G274" s="215" t="s">
        <v>13459</v>
      </c>
      <c r="H274" s="359">
        <v>0</v>
      </c>
      <c r="I274" s="360" t="s">
        <v>1751</v>
      </c>
      <c r="J274" s="360" t="s">
        <v>15692</v>
      </c>
      <c r="K274" s="268"/>
      <c r="L274" s="268"/>
      <c r="M274" s="268"/>
      <c r="N274" s="268"/>
      <c r="O274" s="268"/>
      <c r="P274" s="218"/>
      <c r="Q274" s="269"/>
      <c r="R274" s="215" t="str">
        <f ca="1">IF(ISERROR($V274),"",OFFSET('Smelter Look-up'!$C$4,$V274-4,0)&amp;"")</f>
        <v/>
      </c>
      <c r="S274" s="222" t="str">
        <f t="shared" ca="1" si="39"/>
        <v>CN</v>
      </c>
      <c r="T274" s="222" t="str">
        <f ca="1">IF(B274="","",IF(ISERROR(MATCH($J274,SorP!$B$1:$B$6230,0)),"",INDIRECT("'SorP'!$A$"&amp;MATCH($J274,SorP!$B$1:$B$6230,0))))</f>
        <v/>
      </c>
      <c r="U274" s="238"/>
      <c r="V274" s="270">
        <f>IF(C274="",NA(),MATCH($B274&amp;$C274,'Smelter Look-up'!$J:$J,0))</f>
        <v>531</v>
      </c>
      <c r="W274" s="271"/>
      <c r="X274" s="271">
        <f t="shared" si="40"/>
        <v>0</v>
      </c>
      <c r="Y274" s="271"/>
      <c r="Z274" s="271"/>
      <c r="AB274" s="273" t="str">
        <f t="shared" si="41"/>
        <v>TinSmelter not listed</v>
      </c>
    </row>
    <row r="275" spans="1:28" s="272" customFormat="1" ht="20.100000000000001" customHeight="1">
      <c r="A275" s="357" t="s">
        <v>15641</v>
      </c>
      <c r="B275" s="215" t="s">
        <v>1131</v>
      </c>
      <c r="C275" s="358" t="s">
        <v>1866</v>
      </c>
      <c r="D275" s="278" t="s">
        <v>15682</v>
      </c>
      <c r="E275" s="215" t="s">
        <v>1105</v>
      </c>
      <c r="F275" s="215" t="s">
        <v>15641</v>
      </c>
      <c r="G275" s="215" t="s">
        <v>13459</v>
      </c>
      <c r="H275" s="359">
        <v>0</v>
      </c>
      <c r="I275" s="360" t="s">
        <v>15693</v>
      </c>
      <c r="J275" s="360" t="s">
        <v>1804</v>
      </c>
      <c r="K275" s="268"/>
      <c r="L275" s="268"/>
      <c r="M275" s="268"/>
      <c r="N275" s="268"/>
      <c r="O275" s="268"/>
      <c r="P275" s="218"/>
      <c r="Q275" s="269"/>
      <c r="R275" s="215" t="str">
        <f ca="1">IF(ISERROR($V275),"",OFFSET('Smelter Look-up'!$C$4,$V275-4,0)&amp;"")</f>
        <v/>
      </c>
      <c r="S275" s="222" t="str">
        <f t="shared" ca="1" si="39"/>
        <v>ID</v>
      </c>
      <c r="T275" s="222" t="str">
        <f ca="1">IF(B275="","",IF(ISERROR(MATCH($J275,SorP!$B$1:$B$6230,0)),"",INDIRECT("'SorP'!$A$"&amp;MATCH($J275,SorP!$B$1:$B$6230,0))))</f>
        <v>ID-KR</v>
      </c>
      <c r="U275" s="238"/>
      <c r="V275" s="270">
        <f>IF(C275="",NA(),MATCH($B275&amp;$C275,'Smelter Look-up'!$J:$J,0))</f>
        <v>531</v>
      </c>
      <c r="W275" s="271"/>
      <c r="X275" s="271">
        <f t="shared" si="40"/>
        <v>0</v>
      </c>
      <c r="Y275" s="271"/>
      <c r="Z275" s="271"/>
      <c r="AB275" s="273" t="str">
        <f t="shared" si="41"/>
        <v>TinSmelter not listed</v>
      </c>
    </row>
    <row r="276" spans="1:28" s="272" customFormat="1" ht="20.100000000000001" customHeight="1">
      <c r="A276" s="357" t="s">
        <v>15642</v>
      </c>
      <c r="B276" s="215" t="s">
        <v>1131</v>
      </c>
      <c r="C276" s="358" t="s">
        <v>1866</v>
      </c>
      <c r="D276" s="278" t="s">
        <v>15683</v>
      </c>
      <c r="E276" s="215" t="s">
        <v>1105</v>
      </c>
      <c r="F276" s="215" t="s">
        <v>15642</v>
      </c>
      <c r="G276" s="215" t="s">
        <v>13459</v>
      </c>
      <c r="H276" s="359">
        <v>0</v>
      </c>
      <c r="I276" s="360" t="s">
        <v>15693</v>
      </c>
      <c r="J276" s="360" t="s">
        <v>1804</v>
      </c>
      <c r="K276" s="268"/>
      <c r="L276" s="268"/>
      <c r="M276" s="268"/>
      <c r="N276" s="268"/>
      <c r="O276" s="268"/>
      <c r="P276" s="218"/>
      <c r="Q276" s="269"/>
      <c r="R276" s="215" t="str">
        <f ca="1">IF(ISERROR($V276),"",OFFSET('Smelter Look-up'!$C$4,$V276-4,0)&amp;"")</f>
        <v/>
      </c>
      <c r="S276" s="222" t="str">
        <f t="shared" ca="1" si="39"/>
        <v>ID</v>
      </c>
      <c r="T276" s="222" t="str">
        <f ca="1">IF(B276="","",IF(ISERROR(MATCH($J276,SorP!$B$1:$B$6230,0)),"",INDIRECT("'SorP'!$A$"&amp;MATCH($J276,SorP!$B$1:$B$6230,0))))</f>
        <v>ID-KR</v>
      </c>
      <c r="U276" s="238"/>
      <c r="V276" s="270">
        <f>IF(C276="",NA(),MATCH($B276&amp;$C276,'Smelter Look-up'!$J:$J,0))</f>
        <v>531</v>
      </c>
      <c r="W276" s="271"/>
      <c r="X276" s="271">
        <f t="shared" si="40"/>
        <v>0</v>
      </c>
      <c r="Y276" s="271"/>
      <c r="Z276" s="271"/>
      <c r="AB276" s="273" t="str">
        <f t="shared" si="41"/>
        <v>TinSmelter not listed</v>
      </c>
    </row>
    <row r="277" spans="1:28" s="272" customFormat="1" ht="20.100000000000001" customHeight="1">
      <c r="A277" s="357" t="s">
        <v>15643</v>
      </c>
      <c r="B277" s="215" t="s">
        <v>1131</v>
      </c>
      <c r="C277" s="358" t="s">
        <v>1866</v>
      </c>
      <c r="D277" s="278" t="s">
        <v>15684</v>
      </c>
      <c r="E277" s="215" t="s">
        <v>1105</v>
      </c>
      <c r="F277" s="215" t="s">
        <v>15643</v>
      </c>
      <c r="G277" s="215" t="s">
        <v>13459</v>
      </c>
      <c r="H277" s="359">
        <v>0</v>
      </c>
      <c r="I277" s="360" t="s">
        <v>1780</v>
      </c>
      <c r="J277" s="360" t="s">
        <v>13066</v>
      </c>
      <c r="K277" s="268"/>
      <c r="L277" s="268"/>
      <c r="M277" s="268"/>
      <c r="N277" s="268"/>
      <c r="O277" s="268"/>
      <c r="P277" s="218"/>
      <c r="Q277" s="269"/>
      <c r="R277" s="215" t="str">
        <f ca="1">IF(ISERROR($V277),"",OFFSET('Smelter Look-up'!$C$4,$V277-4,0)&amp;"")</f>
        <v/>
      </c>
      <c r="S277" s="222" t="str">
        <f t="shared" ca="1" si="39"/>
        <v>ID</v>
      </c>
      <c r="T277" s="222" t="str">
        <f ca="1">IF(B277="","",IF(ISERROR(MATCH($J277,SorP!$B$1:$B$6230,0)),"",INDIRECT("'SorP'!$A$"&amp;MATCH($J277,SorP!$B$1:$B$6230,0))))</f>
        <v>ID-BB</v>
      </c>
      <c r="U277" s="238"/>
      <c r="V277" s="270">
        <f>IF(C277="",NA(),MATCH($B277&amp;$C277,'Smelter Look-up'!$J:$J,0))</f>
        <v>531</v>
      </c>
      <c r="W277" s="271"/>
      <c r="X277" s="271">
        <f t="shared" si="40"/>
        <v>0</v>
      </c>
      <c r="Y277" s="271"/>
      <c r="Z277" s="271"/>
      <c r="AB277" s="273" t="str">
        <f t="shared" si="41"/>
        <v>TinSmelter not listed</v>
      </c>
    </row>
    <row r="278" spans="1:28" s="272" customFormat="1" ht="20.100000000000001" customHeight="1">
      <c r="A278" s="357" t="s">
        <v>15644</v>
      </c>
      <c r="B278" s="215" t="s">
        <v>1131</v>
      </c>
      <c r="C278" s="358" t="s">
        <v>1866</v>
      </c>
      <c r="D278" s="278" t="s">
        <v>15685</v>
      </c>
      <c r="E278" s="215" t="s">
        <v>1105</v>
      </c>
      <c r="F278" s="215" t="s">
        <v>15644</v>
      </c>
      <c r="G278" s="215" t="s">
        <v>13459</v>
      </c>
      <c r="H278" s="359">
        <v>0</v>
      </c>
      <c r="I278" s="360" t="s">
        <v>15694</v>
      </c>
      <c r="J278" s="360" t="s">
        <v>15695</v>
      </c>
      <c r="K278" s="268"/>
      <c r="L278" s="268"/>
      <c r="M278" s="268"/>
      <c r="N278" s="268"/>
      <c r="O278" s="268"/>
      <c r="P278" s="218"/>
      <c r="Q278" s="269"/>
      <c r="R278" s="215" t="str">
        <f ca="1">IF(ISERROR($V278),"",OFFSET('Smelter Look-up'!$C$4,$V278-4,0)&amp;"")</f>
        <v/>
      </c>
      <c r="S278" s="222" t="str">
        <f t="shared" ca="1" si="39"/>
        <v>ID</v>
      </c>
      <c r="T278" s="222" t="str">
        <f ca="1">IF(B278="","",IF(ISERROR(MATCH($J278,SorP!$B$1:$B$6230,0)),"",INDIRECT("'SorP'!$A$"&amp;MATCH($J278,SorP!$B$1:$B$6230,0))))</f>
        <v/>
      </c>
      <c r="U278" s="238"/>
      <c r="V278" s="270">
        <f>IF(C278="",NA(),MATCH($B278&amp;$C278,'Smelter Look-up'!$J:$J,0))</f>
        <v>531</v>
      </c>
      <c r="W278" s="271"/>
      <c r="X278" s="271">
        <f t="shared" si="40"/>
        <v>0</v>
      </c>
      <c r="Y278" s="271"/>
      <c r="Z278" s="271"/>
      <c r="AB278" s="273" t="str">
        <f t="shared" si="41"/>
        <v>TinSmelter not listed</v>
      </c>
    </row>
    <row r="279" spans="1:28" s="272" customFormat="1" ht="20.100000000000001" customHeight="1">
      <c r="A279" s="357" t="s">
        <v>15645</v>
      </c>
      <c r="B279" s="215" t="s">
        <v>1131</v>
      </c>
      <c r="C279" s="358" t="s">
        <v>1866</v>
      </c>
      <c r="D279" s="278" t="s">
        <v>15686</v>
      </c>
      <c r="E279" s="215" t="s">
        <v>1105</v>
      </c>
      <c r="F279" s="215" t="s">
        <v>15645</v>
      </c>
      <c r="G279" s="215" t="s">
        <v>13459</v>
      </c>
      <c r="H279" s="359">
        <v>0</v>
      </c>
      <c r="I279" s="360" t="s">
        <v>15696</v>
      </c>
      <c r="J279" s="360" t="s">
        <v>6063</v>
      </c>
      <c r="K279" s="268"/>
      <c r="L279" s="268"/>
      <c r="M279" s="268"/>
      <c r="N279" s="268"/>
      <c r="O279" s="268"/>
      <c r="P279" s="218"/>
      <c r="Q279" s="269"/>
      <c r="R279" s="215" t="str">
        <f ca="1">IF(ISERROR($V279),"",OFFSET('Smelter Look-up'!$C$4,$V279-4,0)&amp;"")</f>
        <v/>
      </c>
      <c r="S279" s="222" t="str">
        <f t="shared" ca="1" si="39"/>
        <v>ID</v>
      </c>
      <c r="T279" s="222" t="str">
        <f ca="1">IF(B279="","",IF(ISERROR(MATCH($J279,SorP!$B$1:$B$6230,0)),"",INDIRECT("'SorP'!$A$"&amp;MATCH($J279,SorP!$B$1:$B$6230,0))))</f>
        <v>ID-JB</v>
      </c>
      <c r="U279" s="238"/>
      <c r="V279" s="270">
        <f>IF(C279="",NA(),MATCH($B279&amp;$C279,'Smelter Look-up'!$J:$J,0))</f>
        <v>531</v>
      </c>
      <c r="W279" s="271"/>
      <c r="X279" s="271">
        <f t="shared" si="40"/>
        <v>0</v>
      </c>
      <c r="Y279" s="271"/>
      <c r="Z279" s="271"/>
      <c r="AB279" s="273" t="str">
        <f t="shared" si="41"/>
        <v>TinSmelter not listed</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ref="S293:S323" ca="1" si="42">IF(B293="","",IF(ISERROR(MATCH($E293,CL,0)),"Unknown",INDIRECT("'C'!$A$"&amp;MATCH($E293,CL,0)+1)))</f>
        <v/>
      </c>
      <c r="T293" s="222" t="str">
        <f ca="1">IF(B293="","",IF(ISERROR(MATCH($J293,SorP!$B$1:$B$6230,0)),"",INDIRECT("'SorP'!$A$"&amp;MATCH($J293,SorP!$B$1:$B$6230,0))))</f>
        <v/>
      </c>
      <c r="U293" s="238"/>
      <c r="V293" s="270" t="e">
        <f>IF(C293="",NA(),MATCH($B293&amp;$C293,'Smelter Look-up'!$J:$J,0))</f>
        <v>#N/A</v>
      </c>
      <c r="W293" s="271"/>
      <c r="X293" s="271">
        <f t="shared" ref="X293:X323" ca="1" si="43">IF(AND(C293="Smelter not listed",OR(LEN(D293)=0,LEN(E293)=0)),1,0)</f>
        <v>0</v>
      </c>
      <c r="Y293" s="271"/>
      <c r="Z293" s="271"/>
      <c r="AB293" s="273" t="str">
        <f t="shared" ref="AB293:AB323" si="44">B293&amp;C293</f>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 ca="1" si="45">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 ca="1" si="46">IF(AND(C324="Smelter not listed",OR(LEN(D324)=0,LEN(E324)=0)),1,0)</f>
        <v>0</v>
      </c>
      <c r="Y324" s="271"/>
      <c r="Z324" s="271"/>
      <c r="AB324" s="273" t="str">
        <f t="shared" ref="AB324" si="47">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S356" ca="1" si="48">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X356" ca="1" si="49">IF(AND(C325="Smelter not listed",OR(LEN(D325)=0,LEN(E325)=0)),1,0)</f>
        <v>0</v>
      </c>
      <c r="Y325" s="271"/>
      <c r="Z325" s="271"/>
      <c r="AB325" s="273" t="str">
        <f t="shared" ref="AB325:AB356" si="50">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ref="S357:S387" ca="1" si="51">IF(B357="","",IF(ISERROR(MATCH($E357,CL,0)),"Unknown",INDIRECT("'C'!$A$"&amp;MATCH($E357,CL,0)+1)))</f>
        <v/>
      </c>
      <c r="T357" s="222" t="str">
        <f ca="1">IF(B357="","",IF(ISERROR(MATCH($J357,SorP!$B$1:$B$6230,0)),"",INDIRECT("'SorP'!$A$"&amp;MATCH($J357,SorP!$B$1:$B$6230,0))))</f>
        <v/>
      </c>
      <c r="U357" s="238"/>
      <c r="V357" s="270" t="e">
        <f>IF(C357="",NA(),MATCH($B357&amp;$C357,'Smelter Look-up'!$J:$J,0))</f>
        <v>#N/A</v>
      </c>
      <c r="W357" s="271"/>
      <c r="X357" s="271">
        <f t="shared" ref="X357:X387" ca="1" si="52">IF(AND(C357="Smelter not listed",OR(LEN(D357)=0,LEN(E357)=0)),1,0)</f>
        <v>0</v>
      </c>
      <c r="Y357" s="271"/>
      <c r="Z357" s="271"/>
      <c r="AB357" s="273" t="str">
        <f t="shared" ref="AB357:AB387" si="53">B357&amp;C357</f>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 ca="1" si="54">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 ca="1" si="55">IF(AND(C388="Smelter not listed",OR(LEN(D388)=0,LEN(E388)=0)),1,0)</f>
        <v>0</v>
      </c>
      <c r="Y388" s="271"/>
      <c r="Z388" s="271"/>
      <c r="AB388" s="273" t="str">
        <f t="shared" ref="AB388" si="56">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S420" ca="1" si="57">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X420" ca="1" si="58">IF(AND(C389="Smelter not listed",OR(LEN(D389)=0,LEN(E389)=0)),1,0)</f>
        <v>0</v>
      </c>
      <c r="Y389" s="271"/>
      <c r="Z389" s="271"/>
      <c r="AB389" s="273" t="str">
        <f t="shared" ref="AB389:AB420" si="59">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ref="S421:S451" ca="1" si="60">IF(B421="","",IF(ISERROR(MATCH($E421,CL,0)),"Unknown",INDIRECT("'C'!$A$"&amp;MATCH($E421,CL,0)+1)))</f>
        <v/>
      </c>
      <c r="T421" s="222" t="str">
        <f ca="1">IF(B421="","",IF(ISERROR(MATCH($J421,SorP!$B$1:$B$6230,0)),"",INDIRECT("'SorP'!$A$"&amp;MATCH($J421,SorP!$B$1:$B$6230,0))))</f>
        <v/>
      </c>
      <c r="U421" s="238"/>
      <c r="V421" s="270" t="e">
        <f>IF(C421="",NA(),MATCH($B421&amp;$C421,'Smelter Look-up'!$J:$J,0))</f>
        <v>#N/A</v>
      </c>
      <c r="W421" s="271"/>
      <c r="X421" s="271">
        <f t="shared" ref="X421:X451" ca="1" si="61">IF(AND(C421="Smelter not listed",OR(LEN(D421)=0,LEN(E421)=0)),1,0)</f>
        <v>0</v>
      </c>
      <c r="Y421" s="271"/>
      <c r="Z421" s="271"/>
      <c r="AB421" s="273" t="str">
        <f t="shared" ref="AB421:AB451" si="62">B421&amp;C421</f>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 ca="1" si="63">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 ca="1" si="64">IF(AND(C452="Smelter not listed",OR(LEN(D452)=0,LEN(E452)=0)),1,0)</f>
        <v>0</v>
      </c>
      <c r="Y452" s="271"/>
      <c r="Z452" s="271"/>
      <c r="AB452" s="273" t="str">
        <f t="shared" ref="AB452" si="65">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S484" ca="1" si="66">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X484" ca="1" si="67">IF(AND(C453="Smelter not listed",OR(LEN(D453)=0,LEN(E453)=0)),1,0)</f>
        <v>0</v>
      </c>
      <c r="Y453" s="271"/>
      <c r="Z453" s="271"/>
      <c r="AB453" s="273" t="str">
        <f t="shared" ref="AB453:AB484" si="68">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ref="S485:S515" ca="1" si="69">IF(B485="","",IF(ISERROR(MATCH($E485,CL,0)),"Unknown",INDIRECT("'C'!$A$"&amp;MATCH($E485,CL,0)+1)))</f>
        <v/>
      </c>
      <c r="T485" s="222" t="str">
        <f ca="1">IF(B485="","",IF(ISERROR(MATCH($J485,SorP!$B$1:$B$6230,0)),"",INDIRECT("'SorP'!$A$"&amp;MATCH($J485,SorP!$B$1:$B$6230,0))))</f>
        <v/>
      </c>
      <c r="U485" s="238"/>
      <c r="V485" s="270" t="e">
        <f>IF(C485="",NA(),MATCH($B485&amp;$C485,'Smelter Look-up'!$J:$J,0))</f>
        <v>#N/A</v>
      </c>
      <c r="W485" s="271"/>
      <c r="X485" s="271">
        <f t="shared" ref="X485:X515" ca="1" si="70">IF(AND(C485="Smelter not listed",OR(LEN(D485)=0,LEN(E485)=0)),1,0)</f>
        <v>0</v>
      </c>
      <c r="Y485" s="271"/>
      <c r="Z485" s="271"/>
      <c r="AB485" s="273" t="str">
        <f t="shared" ref="AB485:AB515" si="71">B485&amp;C485</f>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 ca="1" si="72">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 ca="1" si="73">IF(AND(C516="Smelter not listed",OR(LEN(D516)=0,LEN(E516)=0)),1,0)</f>
        <v>0</v>
      </c>
      <c r="Y516" s="271"/>
      <c r="Z516" s="271"/>
      <c r="AB516" s="273" t="str">
        <f t="shared" ref="AB516" si="74">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S548" ca="1" si="75">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X548" ca="1" si="76">IF(AND(C517="Smelter not listed",OR(LEN(D517)=0,LEN(E517)=0)),1,0)</f>
        <v>0</v>
      </c>
      <c r="Y517" s="271"/>
      <c r="Z517" s="271"/>
      <c r="AB517" s="273" t="str">
        <f t="shared" ref="AB517:AB548" si="77">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ref="S549:S579" ca="1" si="78">IF(B549="","",IF(ISERROR(MATCH($E549,CL,0)),"Unknown",INDIRECT("'C'!$A$"&amp;MATCH($E549,CL,0)+1)))</f>
        <v/>
      </c>
      <c r="T549" s="222" t="str">
        <f ca="1">IF(B549="","",IF(ISERROR(MATCH($J549,SorP!$B$1:$B$6230,0)),"",INDIRECT("'SorP'!$A$"&amp;MATCH($J549,SorP!$B$1:$B$6230,0))))</f>
        <v/>
      </c>
      <c r="U549" s="238"/>
      <c r="V549" s="270" t="e">
        <f>IF(C549="",NA(),MATCH($B549&amp;$C549,'Smelter Look-up'!$J:$J,0))</f>
        <v>#N/A</v>
      </c>
      <c r="W549" s="271"/>
      <c r="X549" s="271">
        <f t="shared" ref="X549:X579" ca="1" si="79">IF(AND(C549="Smelter not listed",OR(LEN(D549)=0,LEN(E549)=0)),1,0)</f>
        <v>0</v>
      </c>
      <c r="Y549" s="271"/>
      <c r="Z549" s="271"/>
      <c r="AB549" s="273" t="str">
        <f t="shared" ref="AB549:AB579" si="80">B549&amp;C549</f>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ref="S580" ca="1" si="81">IF(B580="","",IF(ISERROR(MATCH($E580,CL,0)),"Unknown",INDIRECT("'C'!$A$"&amp;MATCH($E580,CL,0)+1)))</f>
        <v/>
      </c>
      <c r="T580" s="222" t="str">
        <f ca="1">IF(B580="","",IF(ISERROR(MATCH($J580,SorP!$B$1:$B$6230,0)),"",INDIRECT("'SorP'!$A$"&amp;MATCH($J580,SorP!$B$1:$B$6230,0))))</f>
        <v/>
      </c>
      <c r="U580" s="238"/>
      <c r="V580" s="270" t="e">
        <f>IF(C580="",NA(),MATCH($B580&amp;$C580,'Smelter Look-up'!$J:$J,0))</f>
        <v>#N/A</v>
      </c>
      <c r="W580" s="271"/>
      <c r="X580" s="271">
        <f t="shared" ref="X580" ca="1" si="82">IF(AND(C580="Smelter not listed",OR(LEN(D580)=0,LEN(E580)=0)),1,0)</f>
        <v>0</v>
      </c>
      <c r="Y580" s="271"/>
      <c r="Z580" s="271"/>
      <c r="AB580" s="273" t="str">
        <f t="shared" ref="AB580" si="83">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 ca="1" si="84">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 ca="1" si="85">IF(AND(C585="Smelter not listed",OR(LEN(D585)=0,LEN(E585)=0)),1,0)</f>
        <v>0</v>
      </c>
      <c r="Y585" s="271"/>
      <c r="Z585" s="271"/>
      <c r="AB585" s="273" t="str">
        <f t="shared" ref="AB585" si="86">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S633" ca="1" si="87">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X633" ca="1" si="88">IF(AND(C586="Smelter not listed",OR(LEN(D586)=0,LEN(E586)=0)),1,0)</f>
        <v>0</v>
      </c>
      <c r="Y586" s="271"/>
      <c r="Z586" s="271"/>
      <c r="AB586" s="273" t="str">
        <f t="shared" ref="AB586:AB633" si="89">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 ca="1" si="90">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 ca="1" si="91">IF(AND(C634="Smelter not listed",OR(LEN(D634)=0,LEN(E634)=0)),1,0)</f>
        <v>0</v>
      </c>
      <c r="Y634" s="271"/>
      <c r="Z634" s="271"/>
      <c r="AB634" s="273" t="str">
        <f t="shared" ref="AB634" si="92">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S666" ca="1" si="93">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X666" ca="1" si="94">IF(AND(C635="Smelter not listed",OR(LEN(D635)=0,LEN(E635)=0)),1,0)</f>
        <v>0</v>
      </c>
      <c r="Y635" s="271"/>
      <c r="Z635" s="271"/>
      <c r="AB635" s="273" t="str">
        <f t="shared" ref="AB635:AB666" si="95">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ref="S667:S697" ca="1" si="96">IF(B667="","",IF(ISERROR(MATCH($E667,CL,0)),"Unknown",INDIRECT("'C'!$A$"&amp;MATCH($E667,CL,0)+1)))</f>
        <v/>
      </c>
      <c r="T667" s="222" t="str">
        <f ca="1">IF(B667="","",IF(ISERROR(MATCH($J667,SorP!$B$1:$B$6230,0)),"",INDIRECT("'SorP'!$A$"&amp;MATCH($J667,SorP!$B$1:$B$6230,0))))</f>
        <v/>
      </c>
      <c r="U667" s="238"/>
      <c r="V667" s="270" t="e">
        <f>IF(C667="",NA(),MATCH($B667&amp;$C667,'Smelter Look-up'!$J:$J,0))</f>
        <v>#N/A</v>
      </c>
      <c r="W667" s="271"/>
      <c r="X667" s="271">
        <f t="shared" ref="X667:X697" ca="1" si="97">IF(AND(C667="Smelter not listed",OR(LEN(D667)=0,LEN(E667)=0)),1,0)</f>
        <v>0</v>
      </c>
      <c r="Y667" s="271"/>
      <c r="Z667" s="271"/>
      <c r="AB667" s="273" t="str">
        <f t="shared" ref="AB667:AB697" si="98">B667&amp;C667</f>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 ca="1" si="99">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 ca="1" si="100">IF(AND(C698="Smelter not listed",OR(LEN(D698)=0,LEN(E698)=0)),1,0)</f>
        <v>0</v>
      </c>
      <c r="Y698" s="271"/>
      <c r="Z698" s="271"/>
      <c r="AB698" s="273" t="str">
        <f t="shared" ref="AB698" si="101">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S730" ca="1" si="102">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X730" ca="1" si="103">IF(AND(C699="Smelter not listed",OR(LEN(D699)=0,LEN(E699)=0)),1,0)</f>
        <v>0</v>
      </c>
      <c r="Y699" s="271"/>
      <c r="Z699" s="271"/>
      <c r="AB699" s="273" t="str">
        <f t="shared" ref="AB699:AB730" si="104">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ref="S731:S761" ca="1" si="105">IF(B731="","",IF(ISERROR(MATCH($E731,CL,0)),"Unknown",INDIRECT("'C'!$A$"&amp;MATCH($E731,CL,0)+1)))</f>
        <v/>
      </c>
      <c r="T731" s="222" t="str">
        <f ca="1">IF(B731="","",IF(ISERROR(MATCH($J731,SorP!$B$1:$B$6230,0)),"",INDIRECT("'SorP'!$A$"&amp;MATCH($J731,SorP!$B$1:$B$6230,0))))</f>
        <v/>
      </c>
      <c r="U731" s="238"/>
      <c r="V731" s="270" t="e">
        <f>IF(C731="",NA(),MATCH($B731&amp;$C731,'Smelter Look-up'!$J:$J,0))</f>
        <v>#N/A</v>
      </c>
      <c r="W731" s="271"/>
      <c r="X731" s="271">
        <f t="shared" ref="X731:X761" ca="1" si="106">IF(AND(C731="Smelter not listed",OR(LEN(D731)=0,LEN(E731)=0)),1,0)</f>
        <v>0</v>
      </c>
      <c r="Y731" s="271"/>
      <c r="Z731" s="271"/>
      <c r="AB731" s="273" t="str">
        <f t="shared" ref="AB731:AB761" si="107">B731&amp;C731</f>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 ca="1" si="108">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 ca="1" si="109">IF(AND(C762="Smelter not listed",OR(LEN(D762)=0,LEN(E762)=0)),1,0)</f>
        <v>0</v>
      </c>
      <c r="Y762" s="271"/>
      <c r="Z762" s="271"/>
      <c r="AB762" s="273" t="str">
        <f t="shared" ref="AB762" si="110">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S794" ca="1" si="111">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X794" ca="1" si="112">IF(AND(C763="Smelter not listed",OR(LEN(D763)=0,LEN(E763)=0)),1,0)</f>
        <v>0</v>
      </c>
      <c r="Y763" s="271"/>
      <c r="Z763" s="271"/>
      <c r="AB763" s="273" t="str">
        <f t="shared" ref="AB763:AB794" si="113">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ref="S795:S825" ca="1" si="114">IF(B795="","",IF(ISERROR(MATCH($E795,CL,0)),"Unknown",INDIRECT("'C'!$A$"&amp;MATCH($E795,CL,0)+1)))</f>
        <v/>
      </c>
      <c r="T795" s="222" t="str">
        <f ca="1">IF(B795="","",IF(ISERROR(MATCH($J795,SorP!$B$1:$B$6230,0)),"",INDIRECT("'SorP'!$A$"&amp;MATCH($J795,SorP!$B$1:$B$6230,0))))</f>
        <v/>
      </c>
      <c r="U795" s="238"/>
      <c r="V795" s="270" t="e">
        <f>IF(C795="",NA(),MATCH($B795&amp;$C795,'Smelter Look-up'!$J:$J,0))</f>
        <v>#N/A</v>
      </c>
      <c r="W795" s="271"/>
      <c r="X795" s="271">
        <f t="shared" ref="X795:X825" ca="1" si="115">IF(AND(C795="Smelter not listed",OR(LEN(D795)=0,LEN(E795)=0)),1,0)</f>
        <v>0</v>
      </c>
      <c r="Y795" s="271"/>
      <c r="Z795" s="271"/>
      <c r="AB795" s="273" t="str">
        <f t="shared" ref="AB795:AB825" si="116">B795&amp;C795</f>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 ca="1" si="117">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 ca="1" si="118">IF(AND(C826="Smelter not listed",OR(LEN(D826)=0,LEN(E826)=0)),1,0)</f>
        <v>0</v>
      </c>
      <c r="Y826" s="271"/>
      <c r="Z826" s="271"/>
      <c r="AB826" s="273" t="str">
        <f t="shared" ref="AB826" si="119">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S858" ca="1" si="120">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X858" ca="1" si="121">IF(AND(C827="Smelter not listed",OR(LEN(D827)=0,LEN(E827)=0)),1,0)</f>
        <v>0</v>
      </c>
      <c r="Y827" s="271"/>
      <c r="Z827" s="271"/>
      <c r="AB827" s="273" t="str">
        <f t="shared" ref="AB827:AB858" si="122">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ref="S859:S889" ca="1" si="123">IF(B859="","",IF(ISERROR(MATCH($E859,CL,0)),"Unknown",INDIRECT("'C'!$A$"&amp;MATCH($E859,CL,0)+1)))</f>
        <v/>
      </c>
      <c r="T859" s="222" t="str">
        <f ca="1">IF(B859="","",IF(ISERROR(MATCH($J859,SorP!$B$1:$B$6230,0)),"",INDIRECT("'SorP'!$A$"&amp;MATCH($J859,SorP!$B$1:$B$6230,0))))</f>
        <v/>
      </c>
      <c r="U859" s="238"/>
      <c r="V859" s="270" t="e">
        <f>IF(C859="",NA(),MATCH($B859&amp;$C859,'Smelter Look-up'!$J:$J,0))</f>
        <v>#N/A</v>
      </c>
      <c r="W859" s="271"/>
      <c r="X859" s="271">
        <f t="shared" ref="X859:X889" ca="1" si="124">IF(AND(C859="Smelter not listed",OR(LEN(D859)=0,LEN(E859)=0)),1,0)</f>
        <v>0</v>
      </c>
      <c r="Y859" s="271"/>
      <c r="Z859" s="271"/>
      <c r="AB859" s="273" t="str">
        <f t="shared" ref="AB859:AB889" si="125">B859&amp;C859</f>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 ca="1" si="126">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 ca="1" si="127">IF(AND(C890="Smelter not listed",OR(LEN(D890)=0,LEN(E890)=0)),1,0)</f>
        <v>0</v>
      </c>
      <c r="Y890" s="271"/>
      <c r="Z890" s="271"/>
      <c r="AB890" s="273" t="str">
        <f t="shared" ref="AB890" si="128">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S922" ca="1" si="129">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X922" ca="1" si="130">IF(AND(C891="Smelter not listed",OR(LEN(D891)=0,LEN(E891)=0)),1,0)</f>
        <v>0</v>
      </c>
      <c r="Y891" s="271"/>
      <c r="Z891" s="271"/>
      <c r="AB891" s="273" t="str">
        <f t="shared" ref="AB891:AB922" si="131">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ref="S923:S953" ca="1" si="132">IF(B923="","",IF(ISERROR(MATCH($E923,CL,0)),"Unknown",INDIRECT("'C'!$A$"&amp;MATCH($E923,CL,0)+1)))</f>
        <v/>
      </c>
      <c r="T923" s="222" t="str">
        <f ca="1">IF(B923="","",IF(ISERROR(MATCH($J923,SorP!$B$1:$B$6230,0)),"",INDIRECT("'SorP'!$A$"&amp;MATCH($J923,SorP!$B$1:$B$6230,0))))</f>
        <v/>
      </c>
      <c r="U923" s="238"/>
      <c r="V923" s="270" t="e">
        <f>IF(C923="",NA(),MATCH($B923&amp;$C923,'Smelter Look-up'!$J:$J,0))</f>
        <v>#N/A</v>
      </c>
      <c r="W923" s="271"/>
      <c r="X923" s="271">
        <f t="shared" ref="X923:X953" ca="1" si="133">IF(AND(C923="Smelter not listed",OR(LEN(D923)=0,LEN(E923)=0)),1,0)</f>
        <v>0</v>
      </c>
      <c r="Y923" s="271"/>
      <c r="Z923" s="271"/>
      <c r="AB923" s="273" t="str">
        <f t="shared" ref="AB923:AB953" si="134">B923&amp;C923</f>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 ca="1" si="135">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 ca="1" si="136">IF(AND(C954="Smelter not listed",OR(LEN(D954)=0,LEN(E954)=0)),1,0)</f>
        <v>0</v>
      </c>
      <c r="Y954" s="271"/>
      <c r="Z954" s="271"/>
      <c r="AB954" s="273" t="str">
        <f t="shared" ref="AB954" si="137">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S986" ca="1" si="138">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X986" ca="1" si="139">IF(AND(C955="Smelter not listed",OR(LEN(D955)=0,LEN(E955)=0)),1,0)</f>
        <v>0</v>
      </c>
      <c r="Y955" s="271"/>
      <c r="Z955" s="271"/>
      <c r="AB955" s="273" t="str">
        <f t="shared" ref="AB955:AB986" si="140">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ref="S987:S1017" ca="1" si="141">IF(B987="","",IF(ISERROR(MATCH($E987,CL,0)),"Unknown",INDIRECT("'C'!$A$"&amp;MATCH($E987,CL,0)+1)))</f>
        <v/>
      </c>
      <c r="T987" s="222" t="str">
        <f ca="1">IF(B987="","",IF(ISERROR(MATCH($J987,SorP!$B$1:$B$6230,0)),"",INDIRECT("'SorP'!$A$"&amp;MATCH($J987,SorP!$B$1:$B$6230,0))))</f>
        <v/>
      </c>
      <c r="U987" s="238"/>
      <c r="V987" s="270" t="e">
        <f>IF(C987="",NA(),MATCH($B987&amp;$C987,'Smelter Look-up'!$J:$J,0))</f>
        <v>#N/A</v>
      </c>
      <c r="W987" s="271"/>
      <c r="X987" s="271">
        <f t="shared" ref="X987:X1017" ca="1" si="142">IF(AND(C987="Smelter not listed",OR(LEN(D987)=0,LEN(E987)=0)),1,0)</f>
        <v>0</v>
      </c>
      <c r="Y987" s="271"/>
      <c r="Z987" s="271"/>
      <c r="AB987" s="273" t="str">
        <f t="shared" ref="AB987:AB1017" si="143">B987&amp;C987</f>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 ca="1" si="144">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 ca="1" si="145">IF(AND(C1018="Smelter not listed",OR(LEN(D1018)=0,LEN(E1018)=0)),1,0)</f>
        <v>0</v>
      </c>
      <c r="Y1018" s="271"/>
      <c r="Z1018" s="271"/>
      <c r="AB1018" s="273" t="str">
        <f t="shared" ref="AB1018" si="146">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S1050" ca="1" si="147">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X1050" ca="1" si="148">IF(AND(C1019="Smelter not listed",OR(LEN(D1019)=0,LEN(E1019)=0)),1,0)</f>
        <v>0</v>
      </c>
      <c r="Y1019" s="271"/>
      <c r="Z1019" s="271"/>
      <c r="AB1019" s="273" t="str">
        <f t="shared" ref="AB1019:AB1050" si="149">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ref="S1051:S1081" ca="1" si="150">IF(B1051="","",IF(ISERROR(MATCH($E1051,CL,0)),"Unknown",INDIRECT("'C'!$A$"&amp;MATCH($E1051,CL,0)+1)))</f>
        <v/>
      </c>
      <c r="T1051" s="222" t="str">
        <f ca="1">IF(B1051="","",IF(ISERROR(MATCH($J1051,SorP!$B$1:$B$6230,0)),"",INDIRECT("'SorP'!$A$"&amp;MATCH($J1051,SorP!$B$1:$B$6230,0))))</f>
        <v/>
      </c>
      <c r="U1051" s="238"/>
      <c r="V1051" s="270" t="e">
        <f>IF(C1051="",NA(),MATCH($B1051&amp;$C1051,'Smelter Look-up'!$J:$J,0))</f>
        <v>#N/A</v>
      </c>
      <c r="W1051" s="271"/>
      <c r="X1051" s="271">
        <f t="shared" ref="X1051:X1081" ca="1" si="151">IF(AND(C1051="Smelter not listed",OR(LEN(D1051)=0,LEN(E1051)=0)),1,0)</f>
        <v>0</v>
      </c>
      <c r="Y1051" s="271"/>
      <c r="Z1051" s="271"/>
      <c r="AB1051" s="273" t="str">
        <f t="shared" ref="AB1051:AB1081" si="152">B1051&amp;C1051</f>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 ca="1" si="153">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 ca="1" si="154">IF(AND(C1082="Smelter not listed",OR(LEN(D1082)=0,LEN(E1082)=0)),1,0)</f>
        <v>0</v>
      </c>
      <c r="Y1082" s="271"/>
      <c r="Z1082" s="271"/>
      <c r="AB1082" s="273" t="str">
        <f t="shared" ref="AB1082" si="155">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S1114" ca="1" si="156">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X1114" ca="1" si="157">IF(AND(C1083="Smelter not listed",OR(LEN(D1083)=0,LEN(E1083)=0)),1,0)</f>
        <v>0</v>
      </c>
      <c r="Y1083" s="271"/>
      <c r="Z1083" s="271"/>
      <c r="AB1083" s="273" t="str">
        <f t="shared" ref="AB1083:AB1114" si="158">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ref="S1115:S1145" ca="1" si="159">IF(B1115="","",IF(ISERROR(MATCH($E1115,CL,0)),"Unknown",INDIRECT("'C'!$A$"&amp;MATCH($E1115,CL,0)+1)))</f>
        <v/>
      </c>
      <c r="T1115" s="222" t="str">
        <f ca="1">IF(B1115="","",IF(ISERROR(MATCH($J1115,SorP!$B$1:$B$6230,0)),"",INDIRECT("'SorP'!$A$"&amp;MATCH($J1115,SorP!$B$1:$B$6230,0))))</f>
        <v/>
      </c>
      <c r="U1115" s="238"/>
      <c r="V1115" s="270" t="e">
        <f>IF(C1115="",NA(),MATCH($B1115&amp;$C1115,'Smelter Look-up'!$J:$J,0))</f>
        <v>#N/A</v>
      </c>
      <c r="W1115" s="271"/>
      <c r="X1115" s="271">
        <f t="shared" ref="X1115:X1145" ca="1" si="160">IF(AND(C1115="Smelter not listed",OR(LEN(D1115)=0,LEN(E1115)=0)),1,0)</f>
        <v>0</v>
      </c>
      <c r="Y1115" s="271"/>
      <c r="Z1115" s="271"/>
      <c r="AB1115" s="273" t="str">
        <f t="shared" ref="AB1115:AB1145" si="161">B1115&amp;C1115</f>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 ca="1" si="162">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 ca="1" si="163">IF(AND(C1146="Smelter not listed",OR(LEN(D1146)=0,LEN(E1146)=0)),1,0)</f>
        <v>0</v>
      </c>
      <c r="Y1146" s="271"/>
      <c r="Z1146" s="271"/>
      <c r="AB1146" s="273" t="str">
        <f t="shared" ref="AB1146" si="164">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S1178" ca="1" si="165">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X1178" ca="1" si="166">IF(AND(C1147="Smelter not listed",OR(LEN(D1147)=0,LEN(E1147)=0)),1,0)</f>
        <v>0</v>
      </c>
      <c r="Y1147" s="271"/>
      <c r="Z1147" s="271"/>
      <c r="AB1147" s="273" t="str">
        <f t="shared" ref="AB1147:AB1178" si="167">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ref="S1179:S1209" ca="1" si="168">IF(B1179="","",IF(ISERROR(MATCH($E1179,CL,0)),"Unknown",INDIRECT("'C'!$A$"&amp;MATCH($E1179,CL,0)+1)))</f>
        <v/>
      </c>
      <c r="T1179" s="222" t="str">
        <f ca="1">IF(B1179="","",IF(ISERROR(MATCH($J1179,SorP!$B$1:$B$6230,0)),"",INDIRECT("'SorP'!$A$"&amp;MATCH($J1179,SorP!$B$1:$B$6230,0))))</f>
        <v/>
      </c>
      <c r="U1179" s="238"/>
      <c r="V1179" s="270" t="e">
        <f>IF(C1179="",NA(),MATCH($B1179&amp;$C1179,'Smelter Look-up'!$J:$J,0))</f>
        <v>#N/A</v>
      </c>
      <c r="W1179" s="271"/>
      <c r="X1179" s="271">
        <f t="shared" ref="X1179:X1209" ca="1" si="169">IF(AND(C1179="Smelter not listed",OR(LEN(D1179)=0,LEN(E1179)=0)),1,0)</f>
        <v>0</v>
      </c>
      <c r="Y1179" s="271"/>
      <c r="Z1179" s="271"/>
      <c r="AB1179" s="273" t="str">
        <f t="shared" ref="AB1179:AB1209" si="170">B1179&amp;C1179</f>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 ca="1" si="171">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 ca="1" si="172">IF(AND(C1210="Smelter not listed",OR(LEN(D1210)=0,LEN(E1210)=0)),1,0)</f>
        <v>0</v>
      </c>
      <c r="Y1210" s="271"/>
      <c r="Z1210" s="271"/>
      <c r="AB1210" s="273" t="str">
        <f t="shared" ref="AB1210" si="173">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S1242" ca="1" si="174">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X1242" ca="1" si="175">IF(AND(C1211="Smelter not listed",OR(LEN(D1211)=0,LEN(E1211)=0)),1,0)</f>
        <v>0</v>
      </c>
      <c r="Y1211" s="271"/>
      <c r="Z1211" s="271"/>
      <c r="AB1211" s="273" t="str">
        <f t="shared" ref="AB1211:AB1242" si="176">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ref="S1243:S1273" ca="1" si="177">IF(B1243="","",IF(ISERROR(MATCH($E1243,CL,0)),"Unknown",INDIRECT("'C'!$A$"&amp;MATCH($E1243,CL,0)+1)))</f>
        <v/>
      </c>
      <c r="T1243" s="222" t="str">
        <f ca="1">IF(B1243="","",IF(ISERROR(MATCH($J1243,SorP!$B$1:$B$6230,0)),"",INDIRECT("'SorP'!$A$"&amp;MATCH($J1243,SorP!$B$1:$B$6230,0))))</f>
        <v/>
      </c>
      <c r="U1243" s="238"/>
      <c r="V1243" s="270" t="e">
        <f>IF(C1243="",NA(),MATCH($B1243&amp;$C1243,'Smelter Look-up'!$J:$J,0))</f>
        <v>#N/A</v>
      </c>
      <c r="W1243" s="271"/>
      <c r="X1243" s="271">
        <f t="shared" ref="X1243:X1273" ca="1" si="178">IF(AND(C1243="Smelter not listed",OR(LEN(D1243)=0,LEN(E1243)=0)),1,0)</f>
        <v>0</v>
      </c>
      <c r="Y1243" s="271"/>
      <c r="Z1243" s="271"/>
      <c r="AB1243" s="273" t="str">
        <f t="shared" ref="AB1243:AB1273" si="179">B1243&amp;C1243</f>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 ca="1" si="180">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 ca="1" si="181">IF(AND(C1274="Smelter not listed",OR(LEN(D1274)=0,LEN(E1274)=0)),1,0)</f>
        <v>0</v>
      </c>
      <c r="Y1274" s="271"/>
      <c r="Z1274" s="271"/>
      <c r="AB1274" s="273" t="str">
        <f t="shared" ref="AB1274" si="182">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S1306" ca="1" si="183">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X1306" ca="1" si="184">IF(AND(C1275="Smelter not listed",OR(LEN(D1275)=0,LEN(E1275)=0)),1,0)</f>
        <v>0</v>
      </c>
      <c r="Y1275" s="271"/>
      <c r="Z1275" s="271"/>
      <c r="AB1275" s="273" t="str">
        <f t="shared" ref="AB1275:AB1306" si="185">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ref="S1307:S1337" ca="1" si="186">IF(B1307="","",IF(ISERROR(MATCH($E1307,CL,0)),"Unknown",INDIRECT("'C'!$A$"&amp;MATCH($E1307,CL,0)+1)))</f>
        <v/>
      </c>
      <c r="T1307" s="222" t="str">
        <f ca="1">IF(B1307="","",IF(ISERROR(MATCH($J1307,SorP!$B$1:$B$6230,0)),"",INDIRECT("'SorP'!$A$"&amp;MATCH($J1307,SorP!$B$1:$B$6230,0))))</f>
        <v/>
      </c>
      <c r="U1307" s="238"/>
      <c r="V1307" s="270" t="e">
        <f>IF(C1307="",NA(),MATCH($B1307&amp;$C1307,'Smelter Look-up'!$J:$J,0))</f>
        <v>#N/A</v>
      </c>
      <c r="W1307" s="271"/>
      <c r="X1307" s="271">
        <f t="shared" ref="X1307:X1337" ca="1" si="187">IF(AND(C1307="Smelter not listed",OR(LEN(D1307)=0,LEN(E1307)=0)),1,0)</f>
        <v>0</v>
      </c>
      <c r="Y1307" s="271"/>
      <c r="Z1307" s="271"/>
      <c r="AB1307" s="273" t="str">
        <f t="shared" ref="AB1307:AB1337" si="188">B1307&amp;C1307</f>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 ca="1" si="189">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 ca="1" si="190">IF(AND(C1338="Smelter not listed",OR(LEN(D1338)=0,LEN(E1338)=0)),1,0)</f>
        <v>0</v>
      </c>
      <c r="Y1338" s="271"/>
      <c r="Z1338" s="271"/>
      <c r="AB1338" s="273" t="str">
        <f t="shared" ref="AB1338" si="191">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S1370" ca="1" si="192">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X1370" ca="1" si="193">IF(AND(C1339="Smelter not listed",OR(LEN(D1339)=0,LEN(E1339)=0)),1,0)</f>
        <v>0</v>
      </c>
      <c r="Y1339" s="271"/>
      <c r="Z1339" s="271"/>
      <c r="AB1339" s="273" t="str">
        <f t="shared" ref="AB1339:AB1370" si="194">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ref="S1371:S1401" ca="1" si="195">IF(B1371="","",IF(ISERROR(MATCH($E1371,CL,0)),"Unknown",INDIRECT("'C'!$A$"&amp;MATCH($E1371,CL,0)+1)))</f>
        <v/>
      </c>
      <c r="T1371" s="222" t="str">
        <f ca="1">IF(B1371="","",IF(ISERROR(MATCH($J1371,SorP!$B$1:$B$6230,0)),"",INDIRECT("'SorP'!$A$"&amp;MATCH($J1371,SorP!$B$1:$B$6230,0))))</f>
        <v/>
      </c>
      <c r="U1371" s="238"/>
      <c r="V1371" s="270" t="e">
        <f>IF(C1371="",NA(),MATCH($B1371&amp;$C1371,'Smelter Look-up'!$J:$J,0))</f>
        <v>#N/A</v>
      </c>
      <c r="W1371" s="271"/>
      <c r="X1371" s="271">
        <f t="shared" ref="X1371:X1401" ca="1" si="196">IF(AND(C1371="Smelter not listed",OR(LEN(D1371)=0,LEN(E1371)=0)),1,0)</f>
        <v>0</v>
      </c>
      <c r="Y1371" s="271"/>
      <c r="Z1371" s="271"/>
      <c r="AB1371" s="273" t="str">
        <f t="shared" ref="AB1371:AB1401" si="197">B1371&amp;C1371</f>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 ca="1" si="198">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 ca="1" si="199">IF(AND(C1402="Smelter not listed",OR(LEN(D1402)=0,LEN(E1402)=0)),1,0)</f>
        <v>0</v>
      </c>
      <c r="Y1402" s="271"/>
      <c r="Z1402" s="271"/>
      <c r="AB1402" s="273" t="str">
        <f t="shared" ref="AB1402" si="200">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S1434" ca="1" si="20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X1434" ca="1" si="202">IF(AND(C1403="Smelter not listed",OR(LEN(D1403)=0,LEN(E1403)=0)),1,0)</f>
        <v>0</v>
      </c>
      <c r="Y1403" s="271"/>
      <c r="Z1403" s="271"/>
      <c r="AB1403" s="273" t="str">
        <f t="shared" ref="AB1403:AB1434" si="203">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ref="S1435:S1465" ca="1" si="204">IF(B1435="","",IF(ISERROR(MATCH($E1435,CL,0)),"Unknown",INDIRECT("'C'!$A$"&amp;MATCH($E1435,CL,0)+1)))</f>
        <v/>
      </c>
      <c r="T1435" s="222" t="str">
        <f ca="1">IF(B1435="","",IF(ISERROR(MATCH($J1435,SorP!$B$1:$B$6230,0)),"",INDIRECT("'SorP'!$A$"&amp;MATCH($J1435,SorP!$B$1:$B$6230,0))))</f>
        <v/>
      </c>
      <c r="U1435" s="238"/>
      <c r="V1435" s="270" t="e">
        <f>IF(C1435="",NA(),MATCH($B1435&amp;$C1435,'Smelter Look-up'!$J:$J,0))</f>
        <v>#N/A</v>
      </c>
      <c r="W1435" s="271"/>
      <c r="X1435" s="271">
        <f t="shared" ref="X1435:X1465" ca="1" si="205">IF(AND(C1435="Smelter not listed",OR(LEN(D1435)=0,LEN(E1435)=0)),1,0)</f>
        <v>0</v>
      </c>
      <c r="Y1435" s="271"/>
      <c r="Z1435" s="271"/>
      <c r="AB1435" s="273" t="str">
        <f t="shared" ref="AB1435:AB1465" si="206">B1435&amp;C1435</f>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 ca="1" si="207">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 ca="1" si="208">IF(AND(C1466="Smelter not listed",OR(LEN(D1466)=0,LEN(E1466)=0)),1,0)</f>
        <v>0</v>
      </c>
      <c r="Y1466" s="271"/>
      <c r="Z1466" s="271"/>
      <c r="AB1466" s="273" t="str">
        <f t="shared" ref="AB1466" si="209">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S1498" ca="1" si="210">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X1498" ca="1" si="211">IF(AND(C1467="Smelter not listed",OR(LEN(D1467)=0,LEN(E1467)=0)),1,0)</f>
        <v>0</v>
      </c>
      <c r="Y1467" s="271"/>
      <c r="Z1467" s="271"/>
      <c r="AB1467" s="273" t="str">
        <f t="shared" ref="AB1467:AB1498" si="212">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ref="S1499:S1529" ca="1" si="213">IF(B1499="","",IF(ISERROR(MATCH($E1499,CL,0)),"Unknown",INDIRECT("'C'!$A$"&amp;MATCH($E1499,CL,0)+1)))</f>
        <v/>
      </c>
      <c r="T1499" s="222" t="str">
        <f ca="1">IF(B1499="","",IF(ISERROR(MATCH($J1499,SorP!$B$1:$B$6230,0)),"",INDIRECT("'SorP'!$A$"&amp;MATCH($J1499,SorP!$B$1:$B$6230,0))))</f>
        <v/>
      </c>
      <c r="U1499" s="238"/>
      <c r="V1499" s="270" t="e">
        <f>IF(C1499="",NA(),MATCH($B1499&amp;$C1499,'Smelter Look-up'!$J:$J,0))</f>
        <v>#N/A</v>
      </c>
      <c r="W1499" s="271"/>
      <c r="X1499" s="271">
        <f t="shared" ref="X1499:X1529" ca="1" si="214">IF(AND(C1499="Smelter not listed",OR(LEN(D1499)=0,LEN(E1499)=0)),1,0)</f>
        <v>0</v>
      </c>
      <c r="Y1499" s="271"/>
      <c r="Z1499" s="271"/>
      <c r="AB1499" s="273" t="str">
        <f t="shared" ref="AB1499:AB1529" si="215">B1499&amp;C1499</f>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 ca="1" si="216">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 ca="1" si="217">IF(AND(C1530="Smelter not listed",OR(LEN(D1530)=0,LEN(E1530)=0)),1,0)</f>
        <v>0</v>
      </c>
      <c r="Y1530" s="271"/>
      <c r="Z1530" s="271"/>
      <c r="AB1530" s="273" t="str">
        <f t="shared" ref="AB1530" si="218">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S1562" ca="1" si="219">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X1562" ca="1" si="220">IF(AND(C1531="Smelter not listed",OR(LEN(D1531)=0,LEN(E1531)=0)),1,0)</f>
        <v>0</v>
      </c>
      <c r="Y1531" s="271"/>
      <c r="Z1531" s="271"/>
      <c r="AB1531" s="273" t="str">
        <f t="shared" ref="AB1531:AB1562" si="221">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ref="S1563:S1593" ca="1" si="222">IF(B1563="","",IF(ISERROR(MATCH($E1563,CL,0)),"Unknown",INDIRECT("'C'!$A$"&amp;MATCH($E1563,CL,0)+1)))</f>
        <v/>
      </c>
      <c r="T1563" s="222" t="str">
        <f ca="1">IF(B1563="","",IF(ISERROR(MATCH($J1563,SorP!$B$1:$B$6230,0)),"",INDIRECT("'SorP'!$A$"&amp;MATCH($J1563,SorP!$B$1:$B$6230,0))))</f>
        <v/>
      </c>
      <c r="U1563" s="238"/>
      <c r="V1563" s="270" t="e">
        <f>IF(C1563="",NA(),MATCH($B1563&amp;$C1563,'Smelter Look-up'!$J:$J,0))</f>
        <v>#N/A</v>
      </c>
      <c r="W1563" s="271"/>
      <c r="X1563" s="271">
        <f t="shared" ref="X1563:X1593" ca="1" si="223">IF(AND(C1563="Smelter not listed",OR(LEN(D1563)=0,LEN(E1563)=0)),1,0)</f>
        <v>0</v>
      </c>
      <c r="Y1563" s="271"/>
      <c r="Z1563" s="271"/>
      <c r="AB1563" s="273" t="str">
        <f t="shared" ref="AB1563:AB1593" si="224">B1563&amp;C1563</f>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 ca="1" si="225">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 ca="1" si="226">IF(AND(C1594="Smelter not listed",OR(LEN(D1594)=0,LEN(E1594)=0)),1,0)</f>
        <v>0</v>
      </c>
      <c r="Y1594" s="271"/>
      <c r="Z1594" s="271"/>
      <c r="AB1594" s="273" t="str">
        <f t="shared" ref="AB1594" si="227">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S1626" ca="1" si="228">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X1626" ca="1" si="229">IF(AND(C1595="Smelter not listed",OR(LEN(D1595)=0,LEN(E1595)=0)),1,0)</f>
        <v>0</v>
      </c>
      <c r="Y1595" s="271"/>
      <c r="Z1595" s="271"/>
      <c r="AB1595" s="273" t="str">
        <f t="shared" ref="AB1595:AB1626" si="230">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ref="S1627:S1657" ca="1" si="231">IF(B1627="","",IF(ISERROR(MATCH($E1627,CL,0)),"Unknown",INDIRECT("'C'!$A$"&amp;MATCH($E1627,CL,0)+1)))</f>
        <v/>
      </c>
      <c r="T1627" s="222" t="str">
        <f ca="1">IF(B1627="","",IF(ISERROR(MATCH($J1627,SorP!$B$1:$B$6230,0)),"",INDIRECT("'SorP'!$A$"&amp;MATCH($J1627,SorP!$B$1:$B$6230,0))))</f>
        <v/>
      </c>
      <c r="U1627" s="238"/>
      <c r="V1627" s="270" t="e">
        <f>IF(C1627="",NA(),MATCH($B1627&amp;$C1627,'Smelter Look-up'!$J:$J,0))</f>
        <v>#N/A</v>
      </c>
      <c r="W1627" s="271"/>
      <c r="X1627" s="271">
        <f t="shared" ref="X1627:X1657" ca="1" si="232">IF(AND(C1627="Smelter not listed",OR(LEN(D1627)=0,LEN(E1627)=0)),1,0)</f>
        <v>0</v>
      </c>
      <c r="Y1627" s="271"/>
      <c r="Z1627" s="271"/>
      <c r="AB1627" s="273" t="str">
        <f t="shared" ref="AB1627:AB1657" si="233">B1627&amp;C1627</f>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 ca="1" si="234">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 ca="1" si="235">IF(AND(C1658="Smelter not listed",OR(LEN(D1658)=0,LEN(E1658)=0)),1,0)</f>
        <v>0</v>
      </c>
      <c r="Y1658" s="271"/>
      <c r="Z1658" s="271"/>
      <c r="AB1658" s="273" t="str">
        <f t="shared" ref="AB1658" si="236">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S1690" ca="1" si="237">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X1690" ca="1" si="238">IF(AND(C1659="Smelter not listed",OR(LEN(D1659)=0,LEN(E1659)=0)),1,0)</f>
        <v>0</v>
      </c>
      <c r="Y1659" s="271"/>
      <c r="Z1659" s="271"/>
      <c r="AB1659" s="273" t="str">
        <f t="shared" ref="AB1659:AB1690" si="239">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ref="S1691:S1721" ca="1" si="240">IF(B1691="","",IF(ISERROR(MATCH($E1691,CL,0)),"Unknown",INDIRECT("'C'!$A$"&amp;MATCH($E1691,CL,0)+1)))</f>
        <v/>
      </c>
      <c r="T1691" s="222" t="str">
        <f ca="1">IF(B1691="","",IF(ISERROR(MATCH($J1691,SorP!$B$1:$B$6230,0)),"",INDIRECT("'SorP'!$A$"&amp;MATCH($J1691,SorP!$B$1:$B$6230,0))))</f>
        <v/>
      </c>
      <c r="U1691" s="238"/>
      <c r="V1691" s="270" t="e">
        <f>IF(C1691="",NA(),MATCH($B1691&amp;$C1691,'Smelter Look-up'!$J:$J,0))</f>
        <v>#N/A</v>
      </c>
      <c r="W1691" s="271"/>
      <c r="X1691" s="271">
        <f t="shared" ref="X1691:X1721" ca="1" si="241">IF(AND(C1691="Smelter not listed",OR(LEN(D1691)=0,LEN(E1691)=0)),1,0)</f>
        <v>0</v>
      </c>
      <c r="Y1691" s="271"/>
      <c r="Z1691" s="271"/>
      <c r="AB1691" s="273" t="str">
        <f t="shared" ref="AB1691:AB1721" si="242">B1691&amp;C1691</f>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 ca="1" si="243">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 ca="1" si="244">IF(AND(C1722="Smelter not listed",OR(LEN(D1722)=0,LEN(E1722)=0)),1,0)</f>
        <v>0</v>
      </c>
      <c r="Y1722" s="271"/>
      <c r="Z1722" s="271"/>
      <c r="AB1722" s="273" t="str">
        <f t="shared" ref="AB1722" si="245">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S1754" ca="1" si="246">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X1754" ca="1" si="247">IF(AND(C1723="Smelter not listed",OR(LEN(D1723)=0,LEN(E1723)=0)),1,0)</f>
        <v>0</v>
      </c>
      <c r="Y1723" s="271"/>
      <c r="Z1723" s="271"/>
      <c r="AB1723" s="273" t="str">
        <f t="shared" ref="AB1723:AB1754" si="248">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ref="S1755:S1785" ca="1" si="249">IF(B1755="","",IF(ISERROR(MATCH($E1755,CL,0)),"Unknown",INDIRECT("'C'!$A$"&amp;MATCH($E1755,CL,0)+1)))</f>
        <v/>
      </c>
      <c r="T1755" s="222" t="str">
        <f ca="1">IF(B1755="","",IF(ISERROR(MATCH($J1755,SorP!$B$1:$B$6230,0)),"",INDIRECT("'SorP'!$A$"&amp;MATCH($J1755,SorP!$B$1:$B$6230,0))))</f>
        <v/>
      </c>
      <c r="U1755" s="238"/>
      <c r="V1755" s="270" t="e">
        <f>IF(C1755="",NA(),MATCH($B1755&amp;$C1755,'Smelter Look-up'!$J:$J,0))</f>
        <v>#N/A</v>
      </c>
      <c r="W1755" s="271"/>
      <c r="X1755" s="271">
        <f t="shared" ref="X1755:X1785" ca="1" si="250">IF(AND(C1755="Smelter not listed",OR(LEN(D1755)=0,LEN(E1755)=0)),1,0)</f>
        <v>0</v>
      </c>
      <c r="Y1755" s="271"/>
      <c r="Z1755" s="271"/>
      <c r="AB1755" s="273" t="str">
        <f t="shared" ref="AB1755:AB1785" si="251">B1755&amp;C1755</f>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 ca="1" si="252">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 ca="1" si="253">IF(AND(C1786="Smelter not listed",OR(LEN(D1786)=0,LEN(E1786)=0)),1,0)</f>
        <v>0</v>
      </c>
      <c r="Y1786" s="271"/>
      <c r="Z1786" s="271"/>
      <c r="AB1786" s="273" t="str">
        <f t="shared" ref="AB1786" si="254">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S1818" ca="1" si="255">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X1818" ca="1" si="256">IF(AND(C1787="Smelter not listed",OR(LEN(D1787)=0,LEN(E1787)=0)),1,0)</f>
        <v>0</v>
      </c>
      <c r="Y1787" s="271"/>
      <c r="Z1787" s="271"/>
      <c r="AB1787" s="273" t="str">
        <f t="shared" ref="AB1787:AB1818" si="257">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ref="S1819:S1849" ca="1" si="258">IF(B1819="","",IF(ISERROR(MATCH($E1819,CL,0)),"Unknown",INDIRECT("'C'!$A$"&amp;MATCH($E1819,CL,0)+1)))</f>
        <v/>
      </c>
      <c r="T1819" s="222" t="str">
        <f ca="1">IF(B1819="","",IF(ISERROR(MATCH($J1819,SorP!$B$1:$B$6230,0)),"",INDIRECT("'SorP'!$A$"&amp;MATCH($J1819,SorP!$B$1:$B$6230,0))))</f>
        <v/>
      </c>
      <c r="U1819" s="238"/>
      <c r="V1819" s="270" t="e">
        <f>IF(C1819="",NA(),MATCH($B1819&amp;$C1819,'Smelter Look-up'!$J:$J,0))</f>
        <v>#N/A</v>
      </c>
      <c r="W1819" s="271"/>
      <c r="X1819" s="271">
        <f t="shared" ref="X1819:X1849" ca="1" si="259">IF(AND(C1819="Smelter not listed",OR(LEN(D1819)=0,LEN(E1819)=0)),1,0)</f>
        <v>0</v>
      </c>
      <c r="Y1819" s="271"/>
      <c r="Z1819" s="271"/>
      <c r="AB1819" s="273" t="str">
        <f t="shared" ref="AB1819:AB1849" si="260">B1819&amp;C1819</f>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 ca="1" si="261">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 ca="1" si="262">IF(AND(C1850="Smelter not listed",OR(LEN(D1850)=0,LEN(E1850)=0)),1,0)</f>
        <v>0</v>
      </c>
      <c r="Y1850" s="271"/>
      <c r="Z1850" s="271"/>
      <c r="AB1850" s="273" t="str">
        <f t="shared" ref="AB1850" si="263">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S1882" ca="1" si="264">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X1882" ca="1" si="265">IF(AND(C1851="Smelter not listed",OR(LEN(D1851)=0,LEN(E1851)=0)),1,0)</f>
        <v>0</v>
      </c>
      <c r="Y1851" s="271"/>
      <c r="Z1851" s="271"/>
      <c r="AB1851" s="273" t="str">
        <f t="shared" ref="AB1851:AB1882" si="266">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ref="S1883:S1913" ca="1" si="267">IF(B1883="","",IF(ISERROR(MATCH($E1883,CL,0)),"Unknown",INDIRECT("'C'!$A$"&amp;MATCH($E1883,CL,0)+1)))</f>
        <v/>
      </c>
      <c r="T1883" s="222" t="str">
        <f ca="1">IF(B1883="","",IF(ISERROR(MATCH($J1883,SorP!$B$1:$B$6230,0)),"",INDIRECT("'SorP'!$A$"&amp;MATCH($J1883,SorP!$B$1:$B$6230,0))))</f>
        <v/>
      </c>
      <c r="U1883" s="238"/>
      <c r="V1883" s="270" t="e">
        <f>IF(C1883="",NA(),MATCH($B1883&amp;$C1883,'Smelter Look-up'!$J:$J,0))</f>
        <v>#N/A</v>
      </c>
      <c r="W1883" s="271"/>
      <c r="X1883" s="271">
        <f t="shared" ref="X1883:X1913" ca="1" si="268">IF(AND(C1883="Smelter not listed",OR(LEN(D1883)=0,LEN(E1883)=0)),1,0)</f>
        <v>0</v>
      </c>
      <c r="Y1883" s="271"/>
      <c r="Z1883" s="271"/>
      <c r="AB1883" s="273" t="str">
        <f t="shared" ref="AB1883:AB1913" si="269">B1883&amp;C1883</f>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 ca="1" si="270">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 ca="1" si="271">IF(AND(C1914="Smelter not listed",OR(LEN(D1914)=0,LEN(E1914)=0)),1,0)</f>
        <v>0</v>
      </c>
      <c r="Y1914" s="271"/>
      <c r="Z1914" s="271"/>
      <c r="AB1914" s="273" t="str">
        <f t="shared" ref="AB1914" si="272">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S1946" ca="1" si="273">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X1946" ca="1" si="274">IF(AND(C1915="Smelter not listed",OR(LEN(D1915)=0,LEN(E1915)=0)),1,0)</f>
        <v>0</v>
      </c>
      <c r="Y1915" s="271"/>
      <c r="Z1915" s="271"/>
      <c r="AB1915" s="273" t="str">
        <f t="shared" ref="AB1915:AB1946" si="275">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ref="S1947:S1977" ca="1" si="276">IF(B1947="","",IF(ISERROR(MATCH($E1947,CL,0)),"Unknown",INDIRECT("'C'!$A$"&amp;MATCH($E1947,CL,0)+1)))</f>
        <v/>
      </c>
      <c r="T1947" s="222" t="str">
        <f ca="1">IF(B1947="","",IF(ISERROR(MATCH($J1947,SorP!$B$1:$B$6230,0)),"",INDIRECT("'SorP'!$A$"&amp;MATCH($J1947,SorP!$B$1:$B$6230,0))))</f>
        <v/>
      </c>
      <c r="U1947" s="238"/>
      <c r="V1947" s="270" t="e">
        <f>IF(C1947="",NA(),MATCH($B1947&amp;$C1947,'Smelter Look-up'!$J:$J,0))</f>
        <v>#N/A</v>
      </c>
      <c r="W1947" s="271"/>
      <c r="X1947" s="271">
        <f t="shared" ref="X1947:X1977" ca="1" si="277">IF(AND(C1947="Smelter not listed",OR(LEN(D1947)=0,LEN(E1947)=0)),1,0)</f>
        <v>0</v>
      </c>
      <c r="Y1947" s="271"/>
      <c r="Z1947" s="271"/>
      <c r="AB1947" s="273" t="str">
        <f t="shared" ref="AB1947:AB1977" si="278">B1947&amp;C1947</f>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 ca="1" si="279">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 ca="1" si="280">IF(AND(C1978="Smelter not listed",OR(LEN(D1978)=0,LEN(E1978)=0)),1,0)</f>
        <v>0</v>
      </c>
      <c r="Y1978" s="271"/>
      <c r="Z1978" s="271"/>
      <c r="AB1978" s="273" t="str">
        <f t="shared" ref="AB1978" si="281">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S2010" ca="1" si="282">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X2010" ca="1" si="283">IF(AND(C1979="Smelter not listed",OR(LEN(D1979)=0,LEN(E1979)=0)),1,0)</f>
        <v>0</v>
      </c>
      <c r="Y1979" s="271"/>
      <c r="Z1979" s="271"/>
      <c r="AB1979" s="273" t="str">
        <f t="shared" ref="AB1979:AB2010" si="284">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ref="S2011:S2041" ca="1" si="285">IF(B2011="","",IF(ISERROR(MATCH($E2011,CL,0)),"Unknown",INDIRECT("'C'!$A$"&amp;MATCH($E2011,CL,0)+1)))</f>
        <v/>
      </c>
      <c r="T2011" s="222" t="str">
        <f ca="1">IF(B2011="","",IF(ISERROR(MATCH($J2011,SorP!$B$1:$B$6230,0)),"",INDIRECT("'SorP'!$A$"&amp;MATCH($J2011,SorP!$B$1:$B$6230,0))))</f>
        <v/>
      </c>
      <c r="U2011" s="238"/>
      <c r="V2011" s="270" t="e">
        <f>IF(C2011="",NA(),MATCH($B2011&amp;$C2011,'Smelter Look-up'!$J:$J,0))</f>
        <v>#N/A</v>
      </c>
      <c r="W2011" s="271"/>
      <c r="X2011" s="271">
        <f t="shared" ref="X2011:X2041" ca="1" si="286">IF(AND(C2011="Smelter not listed",OR(LEN(D2011)=0,LEN(E2011)=0)),1,0)</f>
        <v>0</v>
      </c>
      <c r="Y2011" s="271"/>
      <c r="Z2011" s="271"/>
      <c r="AB2011" s="273" t="str">
        <f t="shared" ref="AB2011:AB2041" si="287">B2011&amp;C2011</f>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 ca="1" si="288">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 ca="1" si="289">IF(AND(C2042="Smelter not listed",OR(LEN(D2042)=0,LEN(E2042)=0)),1,0)</f>
        <v>0</v>
      </c>
      <c r="Y2042" s="271"/>
      <c r="Z2042" s="271"/>
      <c r="AB2042" s="273" t="str">
        <f t="shared" ref="AB2042" si="290">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S2074" ca="1" si="29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X2074" ca="1" si="292">IF(AND(C2043="Smelter not listed",OR(LEN(D2043)=0,LEN(E2043)=0)),1,0)</f>
        <v>0</v>
      </c>
      <c r="Y2043" s="271"/>
      <c r="Z2043" s="271"/>
      <c r="AB2043" s="273" t="str">
        <f t="shared" ref="AB2043:AB2074" si="293">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ref="S2075:S2105" ca="1" si="294">IF(B2075="","",IF(ISERROR(MATCH($E2075,CL,0)),"Unknown",INDIRECT("'C'!$A$"&amp;MATCH($E2075,CL,0)+1)))</f>
        <v/>
      </c>
      <c r="T2075" s="222" t="str">
        <f ca="1">IF(B2075="","",IF(ISERROR(MATCH($J2075,SorP!$B$1:$B$6230,0)),"",INDIRECT("'SorP'!$A$"&amp;MATCH($J2075,SorP!$B$1:$B$6230,0))))</f>
        <v/>
      </c>
      <c r="U2075" s="238"/>
      <c r="V2075" s="270" t="e">
        <f>IF(C2075="",NA(),MATCH($B2075&amp;$C2075,'Smelter Look-up'!$J:$J,0))</f>
        <v>#N/A</v>
      </c>
      <c r="W2075" s="271"/>
      <c r="X2075" s="271">
        <f t="shared" ref="X2075:X2105" ca="1" si="295">IF(AND(C2075="Smelter not listed",OR(LEN(D2075)=0,LEN(E2075)=0)),1,0)</f>
        <v>0</v>
      </c>
      <c r="Y2075" s="271"/>
      <c r="Z2075" s="271"/>
      <c r="AB2075" s="273" t="str">
        <f t="shared" ref="AB2075:AB2105" si="296">B2075&amp;C2075</f>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 ca="1" si="297">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 ca="1" si="298">IF(AND(C2106="Smelter not listed",OR(LEN(D2106)=0,LEN(E2106)=0)),1,0)</f>
        <v>0</v>
      </c>
      <c r="Y2106" s="271"/>
      <c r="Z2106" s="271"/>
      <c r="AB2106" s="273" t="str">
        <f t="shared" ref="AB2106" si="299">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S2138" ca="1" si="300">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X2138" ca="1" si="301">IF(AND(C2107="Smelter not listed",OR(LEN(D2107)=0,LEN(E2107)=0)),1,0)</f>
        <v>0</v>
      </c>
      <c r="Y2107" s="271"/>
      <c r="Z2107" s="271"/>
      <c r="AB2107" s="273" t="str">
        <f t="shared" ref="AB2107:AB2138" si="302">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ref="S2139:S2169" ca="1" si="303">IF(B2139="","",IF(ISERROR(MATCH($E2139,CL,0)),"Unknown",INDIRECT("'C'!$A$"&amp;MATCH($E2139,CL,0)+1)))</f>
        <v/>
      </c>
      <c r="T2139" s="222" t="str">
        <f ca="1">IF(B2139="","",IF(ISERROR(MATCH($J2139,SorP!$B$1:$B$6230,0)),"",INDIRECT("'SorP'!$A$"&amp;MATCH($J2139,SorP!$B$1:$B$6230,0))))</f>
        <v/>
      </c>
      <c r="U2139" s="238"/>
      <c r="V2139" s="270" t="e">
        <f>IF(C2139="",NA(),MATCH($B2139&amp;$C2139,'Smelter Look-up'!$J:$J,0))</f>
        <v>#N/A</v>
      </c>
      <c r="W2139" s="271"/>
      <c r="X2139" s="271">
        <f t="shared" ref="X2139:X2169" ca="1" si="304">IF(AND(C2139="Smelter not listed",OR(LEN(D2139)=0,LEN(E2139)=0)),1,0)</f>
        <v>0</v>
      </c>
      <c r="Y2139" s="271"/>
      <c r="Z2139" s="271"/>
      <c r="AB2139" s="273" t="str">
        <f t="shared" ref="AB2139:AB2169" si="305">B2139&amp;C2139</f>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 ca="1" si="306">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 ca="1" si="307">IF(AND(C2170="Smelter not listed",OR(LEN(D2170)=0,LEN(E2170)=0)),1,0)</f>
        <v>0</v>
      </c>
      <c r="Y2170" s="271"/>
      <c r="Z2170" s="271"/>
      <c r="AB2170" s="273" t="str">
        <f t="shared" ref="AB2170" si="308">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S2202" ca="1" si="309">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X2202" ca="1" si="310">IF(AND(C2171="Smelter not listed",OR(LEN(D2171)=0,LEN(E2171)=0)),1,0)</f>
        <v>0</v>
      </c>
      <c r="Y2171" s="271"/>
      <c r="Z2171" s="271"/>
      <c r="AB2171" s="273" t="str">
        <f t="shared" ref="AB2171:AB2202" si="311">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ref="S2203:S2233" ca="1" si="312">IF(B2203="","",IF(ISERROR(MATCH($E2203,CL,0)),"Unknown",INDIRECT("'C'!$A$"&amp;MATCH($E2203,CL,0)+1)))</f>
        <v/>
      </c>
      <c r="T2203" s="222" t="str">
        <f ca="1">IF(B2203="","",IF(ISERROR(MATCH($J2203,SorP!$B$1:$B$6230,0)),"",INDIRECT("'SorP'!$A$"&amp;MATCH($J2203,SorP!$B$1:$B$6230,0))))</f>
        <v/>
      </c>
      <c r="U2203" s="238"/>
      <c r="V2203" s="270" t="e">
        <f>IF(C2203="",NA(),MATCH($B2203&amp;$C2203,'Smelter Look-up'!$J:$J,0))</f>
        <v>#N/A</v>
      </c>
      <c r="W2203" s="271"/>
      <c r="X2203" s="271">
        <f t="shared" ref="X2203:X2233" ca="1" si="313">IF(AND(C2203="Smelter not listed",OR(LEN(D2203)=0,LEN(E2203)=0)),1,0)</f>
        <v>0</v>
      </c>
      <c r="Y2203" s="271"/>
      <c r="Z2203" s="271"/>
      <c r="AB2203" s="273" t="str">
        <f t="shared" ref="AB2203:AB2233" si="314">B2203&amp;C2203</f>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 ca="1" si="315">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 ca="1" si="316">IF(AND(C2234="Smelter not listed",OR(LEN(D2234)=0,LEN(E2234)=0)),1,0)</f>
        <v>0</v>
      </c>
      <c r="Y2234" s="271"/>
      <c r="Z2234" s="271"/>
      <c r="AB2234" s="273" t="str">
        <f t="shared" ref="AB2234" si="317">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S2266" ca="1" si="318">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X2266" ca="1" si="319">IF(AND(C2235="Smelter not listed",OR(LEN(D2235)=0,LEN(E2235)=0)),1,0)</f>
        <v>0</v>
      </c>
      <c r="Y2235" s="271"/>
      <c r="Z2235" s="271"/>
      <c r="AB2235" s="273" t="str">
        <f t="shared" ref="AB2235:AB2266" si="320">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ref="S2267:S2297" ca="1" si="321">IF(B2267="","",IF(ISERROR(MATCH($E2267,CL,0)),"Unknown",INDIRECT("'C'!$A$"&amp;MATCH($E2267,CL,0)+1)))</f>
        <v/>
      </c>
      <c r="T2267" s="222" t="str">
        <f ca="1">IF(B2267="","",IF(ISERROR(MATCH($J2267,SorP!$B$1:$B$6230,0)),"",INDIRECT("'SorP'!$A$"&amp;MATCH($J2267,SorP!$B$1:$B$6230,0))))</f>
        <v/>
      </c>
      <c r="U2267" s="238"/>
      <c r="V2267" s="270" t="e">
        <f>IF(C2267="",NA(),MATCH($B2267&amp;$C2267,'Smelter Look-up'!$J:$J,0))</f>
        <v>#N/A</v>
      </c>
      <c r="W2267" s="271"/>
      <c r="X2267" s="271">
        <f t="shared" ref="X2267:X2297" ca="1" si="322">IF(AND(C2267="Smelter not listed",OR(LEN(D2267)=0,LEN(E2267)=0)),1,0)</f>
        <v>0</v>
      </c>
      <c r="Y2267" s="271"/>
      <c r="Z2267" s="271"/>
      <c r="AB2267" s="273" t="str">
        <f t="shared" ref="AB2267:AB2297" si="323">B2267&amp;C2267</f>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 ca="1" si="324">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 ca="1" si="325">IF(AND(C2298="Smelter not listed",OR(LEN(D2298)=0,LEN(E2298)=0)),1,0)</f>
        <v>0</v>
      </c>
      <c r="Y2298" s="271"/>
      <c r="Z2298" s="271"/>
      <c r="AB2298" s="273" t="str">
        <f t="shared" ref="AB2298" si="326">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S2330" ca="1" si="327">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X2330" ca="1" si="328">IF(AND(C2299="Smelter not listed",OR(LEN(D2299)=0,LEN(E2299)=0)),1,0)</f>
        <v>0</v>
      </c>
      <c r="Y2299" s="271"/>
      <c r="Z2299" s="271"/>
      <c r="AB2299" s="273" t="str">
        <f t="shared" ref="AB2299:AB2330" si="329">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ref="S2331:S2361" ca="1" si="330">IF(B2331="","",IF(ISERROR(MATCH($E2331,CL,0)),"Unknown",INDIRECT("'C'!$A$"&amp;MATCH($E2331,CL,0)+1)))</f>
        <v/>
      </c>
      <c r="T2331" s="222" t="str">
        <f ca="1">IF(B2331="","",IF(ISERROR(MATCH($J2331,SorP!$B$1:$B$6230,0)),"",INDIRECT("'SorP'!$A$"&amp;MATCH($J2331,SorP!$B$1:$B$6230,0))))</f>
        <v/>
      </c>
      <c r="U2331" s="238"/>
      <c r="V2331" s="270" t="e">
        <f>IF(C2331="",NA(),MATCH($B2331&amp;$C2331,'Smelter Look-up'!$J:$J,0))</f>
        <v>#N/A</v>
      </c>
      <c r="W2331" s="271"/>
      <c r="X2331" s="271">
        <f t="shared" ref="X2331:X2361" ca="1" si="331">IF(AND(C2331="Smelter not listed",OR(LEN(D2331)=0,LEN(E2331)=0)),1,0)</f>
        <v>0</v>
      </c>
      <c r="Y2331" s="271"/>
      <c r="Z2331" s="271"/>
      <c r="AB2331" s="273" t="str">
        <f t="shared" ref="AB2331:AB2361" si="332">B2331&amp;C2331</f>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 ca="1" si="333">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 ca="1" si="334">IF(AND(C2362="Smelter not listed",OR(LEN(D2362)=0,LEN(E2362)=0)),1,0)</f>
        <v>0</v>
      </c>
      <c r="Y2362" s="271"/>
      <c r="Z2362" s="271"/>
      <c r="AB2362" s="273" t="str">
        <f t="shared" ref="AB2362" si="335">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S2394" ca="1" si="336">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X2394" ca="1" si="337">IF(AND(C2363="Smelter not listed",OR(LEN(D2363)=0,LEN(E2363)=0)),1,0)</f>
        <v>0</v>
      </c>
      <c r="Y2363" s="271"/>
      <c r="Z2363" s="271"/>
      <c r="AB2363" s="273" t="str">
        <f t="shared" ref="AB2363:AB2394" si="338">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ref="S2395:S2425" ca="1" si="339">IF(B2395="","",IF(ISERROR(MATCH($E2395,CL,0)),"Unknown",INDIRECT("'C'!$A$"&amp;MATCH($E2395,CL,0)+1)))</f>
        <v/>
      </c>
      <c r="T2395" s="222" t="str">
        <f ca="1">IF(B2395="","",IF(ISERROR(MATCH($J2395,SorP!$B$1:$B$6230,0)),"",INDIRECT("'SorP'!$A$"&amp;MATCH($J2395,SorP!$B$1:$B$6230,0))))</f>
        <v/>
      </c>
      <c r="U2395" s="238"/>
      <c r="V2395" s="270" t="e">
        <f>IF(C2395="",NA(),MATCH($B2395&amp;$C2395,'Smelter Look-up'!$J:$J,0))</f>
        <v>#N/A</v>
      </c>
      <c r="W2395" s="271"/>
      <c r="X2395" s="271">
        <f t="shared" ref="X2395:X2425" ca="1" si="340">IF(AND(C2395="Smelter not listed",OR(LEN(D2395)=0,LEN(E2395)=0)),1,0)</f>
        <v>0</v>
      </c>
      <c r="Y2395" s="271"/>
      <c r="Z2395" s="271"/>
      <c r="AB2395" s="273" t="str">
        <f t="shared" ref="AB2395:AB2425" si="341">B2395&amp;C2395</f>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 ca="1" si="342">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 ca="1" si="343">IF(AND(C2426="Smelter not listed",OR(LEN(D2426)=0,LEN(E2426)=0)),1,0)</f>
        <v>0</v>
      </c>
      <c r="Y2426" s="271"/>
      <c r="Z2426" s="271"/>
      <c r="AB2426" s="273" t="str">
        <f t="shared" ref="AB2426" si="344">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S2458" ca="1" si="345">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X2458" ca="1" si="346">IF(AND(C2427="Smelter not listed",OR(LEN(D2427)=0,LEN(E2427)=0)),1,0)</f>
        <v>0</v>
      </c>
      <c r="Y2427" s="271"/>
      <c r="Z2427" s="271"/>
      <c r="AB2427" s="273" t="str">
        <f t="shared" ref="AB2427:AB2458" si="347">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ref="S2459:S2489" ca="1" si="348">IF(B2459="","",IF(ISERROR(MATCH($E2459,CL,0)),"Unknown",INDIRECT("'C'!$A$"&amp;MATCH($E2459,CL,0)+1)))</f>
        <v/>
      </c>
      <c r="T2459" s="222" t="str">
        <f ca="1">IF(B2459="","",IF(ISERROR(MATCH($J2459,SorP!$B$1:$B$6230,0)),"",INDIRECT("'SorP'!$A$"&amp;MATCH($J2459,SorP!$B$1:$B$6230,0))))</f>
        <v/>
      </c>
      <c r="U2459" s="238"/>
      <c r="V2459" s="270" t="e">
        <f>IF(C2459="",NA(),MATCH($B2459&amp;$C2459,'Smelter Look-up'!$J:$J,0))</f>
        <v>#N/A</v>
      </c>
      <c r="W2459" s="271"/>
      <c r="X2459" s="271">
        <f t="shared" ref="X2459:X2491" ca="1" si="349">IF(AND(C2459="Smelter not listed",OR(LEN(D2459)=0,LEN(E2459)=0)),1,0)</f>
        <v>0</v>
      </c>
      <c r="Y2459" s="271"/>
      <c r="Z2459" s="271"/>
      <c r="AB2459" s="273" t="str">
        <f t="shared" ref="AB2459:AB2489" si="350">B2459&amp;C2459</f>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 ca="1" si="35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ref="AB2490" si="352">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 ca="1" si="353">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S2504" ca="1" si="354">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f ca="1">IF(AND(C2503="Smelter not listed",OR(LEN(D2503)=0,LEN(E2503)=0)),1,0)</f>
        <v>0</v>
      </c>
      <c r="Y2503" s="271"/>
      <c r="Z2503" s="271"/>
      <c r="AB2503" s="273" t="str">
        <f>B2503&amp;C2503</f>
        <v/>
      </c>
    </row>
    <row r="2504" spans="1:28" ht="13.5" thickBot="1">
      <c r="A2504" s="292"/>
      <c r="B2504" s="274"/>
      <c r="C2504" s="274"/>
      <c r="D2504" s="275"/>
      <c r="E2504" s="275"/>
      <c r="F2504" s="275"/>
      <c r="G2504" s="275"/>
      <c r="H2504" s="275"/>
      <c r="I2504" s="275"/>
      <c r="J2504" s="275"/>
      <c r="K2504" s="275"/>
      <c r="L2504" s="275"/>
      <c r="M2504" s="275"/>
      <c r="N2504" s="275"/>
      <c r="O2504" s="275"/>
      <c r="P2504" s="275"/>
      <c r="Q2504" s="239"/>
      <c r="R2504" s="215"/>
      <c r="S2504" s="222" t="str">
        <f t="shared" ca="1" si="354"/>
        <v/>
      </c>
      <c r="T2504" s="222" t="str">
        <f ca="1">IF(B2504="","",IF(ISERROR(MATCH($J2504,SorP!$B$1:$B$6230,0)),"",INDIRECT("'SorP'!$A$"&amp;MATCH($J2504,SorP!$B$1:$B$6230,0))))</f>
        <v/>
      </c>
      <c r="AB2504" s="272" t="str">
        <f>B2504&amp;C2504</f>
        <v/>
      </c>
    </row>
    <row r="2505" spans="1:28" ht="13.5" thickTop="1">
      <c r="U2505" s="277"/>
      <c r="V2505" s="277"/>
      <c r="W2505" s="277"/>
      <c r="X2505" s="277"/>
      <c r="Y2505" s="277"/>
      <c r="Z2505" s="277"/>
    </row>
    <row r="2506" spans="1:28">
      <c r="U2506" s="277"/>
      <c r="V2506" s="277"/>
      <c r="W2506" s="277"/>
      <c r="X2506" s="277"/>
      <c r="Y2506" s="277"/>
      <c r="Z2506" s="277"/>
    </row>
    <row r="2507" spans="1:28" ht="13.5" thickBot="1">
      <c r="U2507" s="277"/>
      <c r="V2507" s="277"/>
      <c r="W2507" s="277"/>
      <c r="X2507" s="277"/>
      <c r="Y2507" s="277"/>
      <c r="Z2507"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5:B2503 B5:B18">
    <cfRule type="expression" dxfId="93" priority="87" stopIfTrue="1">
      <formula>IF(B5="",TRUE)</formula>
    </cfRule>
    <cfRule type="expression" dxfId="92" priority="98" stopIfTrue="1">
      <formula>IF(AND(COUNTIF(MetalSmelter,B5&amp;C5)=0,LEN(C5)&gt;0),TRUE,FALSE)</formula>
    </cfRule>
  </conditionalFormatting>
  <conditionalFormatting sqref="D5:D35 D39 D42:D75 D77:D168 D170:D263 D280:D2503">
    <cfRule type="expression" dxfId="91" priority="81" stopIfTrue="1">
      <formula>IF(AND(LEN($C5)&gt;0,($C5&lt;&gt;"Smelter Not Listed")),1,0)</formula>
    </cfRule>
    <cfRule type="expression" dxfId="90" priority="106" stopIfTrue="1">
      <formula>IF(AND(D5="",$C5=$X$4),TRUE)</formula>
    </cfRule>
    <cfRule type="expression" dxfId="89" priority="107" stopIfTrue="1">
      <formula>IF(FIND("!",D5),TRUE)</formula>
    </cfRule>
  </conditionalFormatting>
  <conditionalFormatting sqref="G585:G2503 G5:G18">
    <cfRule type="expression" dxfId="88" priority="108" stopIfTrue="1">
      <formula>IF(FIND("Enter smelter details",G5),TRUE)</formula>
    </cfRule>
  </conditionalFormatting>
  <conditionalFormatting sqref="R5:R2504 E5:E27 E32:E35 E39 E42:E75 E77:E168 E170:E263 E280:E2503">
    <cfRule type="expression" dxfId="87" priority="94" stopIfTrue="1">
      <formula>IF(AND(E5="",$C5=$X$4),TRUE)</formula>
    </cfRule>
    <cfRule type="expression" dxfId="86" priority="95" stopIfTrue="1">
      <formula>IF(FIND("!",E5),TRUE)</formula>
    </cfRule>
  </conditionalFormatting>
  <conditionalFormatting sqref="F585:F2503 F5:F18">
    <cfRule type="expression" dxfId="85" priority="85" stopIfTrue="1">
      <formula>IF(AND(LEN($A5)&gt;0,$A5&lt;&gt;$F5),TRUE,FALSE)</formula>
    </cfRule>
  </conditionalFormatting>
  <conditionalFormatting sqref="C585:C2503 C5:C18">
    <cfRule type="expression" dxfId="84" priority="84" stopIfTrue="1">
      <formula>IF(AND(B5&lt;&gt;"",C5=""),TRUE)</formula>
    </cfRule>
  </conditionalFormatting>
  <conditionalFormatting sqref="B20:B263 B280:B584">
    <cfRule type="expression" dxfId="83" priority="63" stopIfTrue="1">
      <formula>IF(B20="",TRUE)</formula>
    </cfRule>
    <cfRule type="expression" dxfId="82" priority="66" stopIfTrue="1">
      <formula>IF(AND(COUNTIF(MetalSmelter,B20&amp;C20)=0,LEN(C20)&gt;0),TRUE,FALSE)</formula>
    </cfRule>
  </conditionalFormatting>
  <conditionalFormatting sqref="G22:G27 G32:G33 G35 G39 G42:G75 G77:G168 G170:G263 G280:G584">
    <cfRule type="expression" dxfId="81" priority="69" stopIfTrue="1">
      <formula>IF(FIND("Enter smelter details",G22),TRUE)</formula>
    </cfRule>
  </conditionalFormatting>
  <conditionalFormatting sqref="F20:F584">
    <cfRule type="expression" dxfId="80" priority="62" stopIfTrue="1">
      <formula>IF(AND(LEN($A20)&gt;0,$A20&lt;&gt;$F20),TRUE,FALSE)</formula>
    </cfRule>
  </conditionalFormatting>
  <conditionalFormatting sqref="C22:C27 C32:C33 C35 C39 C42:C75 C77:C168 C170:C263 C280:C584">
    <cfRule type="expression" dxfId="79" priority="61" stopIfTrue="1">
      <formula>IF(AND(B22&lt;&gt;"",C22=""),TRUE)</formula>
    </cfRule>
  </conditionalFormatting>
  <conditionalFormatting sqref="B19">
    <cfRule type="expression" dxfId="78" priority="53" stopIfTrue="1">
      <formula>IF(B19="",TRUE)</formula>
    </cfRule>
    <cfRule type="expression" dxfId="77" priority="56" stopIfTrue="1">
      <formula>IF(AND(COUNTIF(MetalSmelter,B19&amp;C19)=0,LEN(C19)&gt;0),TRUE,FALSE)</formula>
    </cfRule>
  </conditionalFormatting>
  <conditionalFormatting sqref="F19">
    <cfRule type="expression" dxfId="76" priority="52" stopIfTrue="1">
      <formula>IF(AND(LEN($A19)&gt;0,$A19&lt;&gt;$F19),TRUE,FALSE)</formula>
    </cfRule>
  </conditionalFormatting>
  <conditionalFormatting sqref="C19">
    <cfRule type="expression" dxfId="75" priority="48" stopIfTrue="1">
      <formula>IF(AND(B19&lt;&gt;"",C19=""),TRUE)</formula>
    </cfRule>
  </conditionalFormatting>
  <conditionalFormatting sqref="C20:C21">
    <cfRule type="expression" dxfId="74" priority="47" stopIfTrue="1">
      <formula>IF(AND(B20&lt;&gt;"",C20=""),TRUE)</formula>
    </cfRule>
  </conditionalFormatting>
  <conditionalFormatting sqref="G19:G21">
    <cfRule type="expression" dxfId="73" priority="46" stopIfTrue="1">
      <formula>IF(FIND("Enter smelter details",G19),TRUE)</formula>
    </cfRule>
  </conditionalFormatting>
  <conditionalFormatting sqref="C28:C31">
    <cfRule type="expression" dxfId="72" priority="45" stopIfTrue="1">
      <formula>IF(AND(B28&lt;&gt;"",C28=""),TRUE)</formula>
    </cfRule>
  </conditionalFormatting>
  <conditionalFormatting sqref="E28:E31">
    <cfRule type="expression" dxfId="71" priority="43" stopIfTrue="1">
      <formula>IF(AND(E28="",$C28=$X$4),TRUE)</formula>
    </cfRule>
    <cfRule type="expression" dxfId="70" priority="44" stopIfTrue="1">
      <formula>IF(FIND("!",E28),TRUE)</formula>
    </cfRule>
  </conditionalFormatting>
  <conditionalFormatting sqref="G28:G31">
    <cfRule type="expression" dxfId="69" priority="42" stopIfTrue="1">
      <formula>IF(FIND("Enter smelter details",G28),TRUE)</formula>
    </cfRule>
  </conditionalFormatting>
  <conditionalFormatting sqref="C34">
    <cfRule type="expression" dxfId="68" priority="41" stopIfTrue="1">
      <formula>IF(AND(B34&lt;&gt;"",C34=""),TRUE)</formula>
    </cfRule>
  </conditionalFormatting>
  <conditionalFormatting sqref="G34">
    <cfRule type="expression" dxfId="67" priority="40" stopIfTrue="1">
      <formula>IF(FIND("Enter smelter details",G34),TRUE)</formula>
    </cfRule>
  </conditionalFormatting>
  <conditionalFormatting sqref="D36:D38">
    <cfRule type="expression" dxfId="66" priority="34" stopIfTrue="1">
      <formula>IF(AND(LEN($C36)&gt;0,($C36&lt;&gt;"Smelter Not Listed")),1,0)</formula>
    </cfRule>
    <cfRule type="expression" dxfId="65" priority="38" stopIfTrue="1">
      <formula>IF(AND(D36="",$C36=$X$4),TRUE)</formula>
    </cfRule>
    <cfRule type="expression" dxfId="64" priority="39" stopIfTrue="1">
      <formula>IF(FIND("!",D36),TRUE)</formula>
    </cfRule>
  </conditionalFormatting>
  <conditionalFormatting sqref="E36:E38">
    <cfRule type="expression" dxfId="63" priority="36" stopIfTrue="1">
      <formula>IF(AND(E36="",$C36=$X$4),TRUE)</formula>
    </cfRule>
    <cfRule type="expression" dxfId="62" priority="37" stopIfTrue="1">
      <formula>IF(FIND("!",E36),TRUE)</formula>
    </cfRule>
  </conditionalFormatting>
  <conditionalFormatting sqref="C36:C38">
    <cfRule type="expression" dxfId="61" priority="35" stopIfTrue="1">
      <formula>IF(AND(B36&lt;&gt;"",C36=""),TRUE)</formula>
    </cfRule>
  </conditionalFormatting>
  <conditionalFormatting sqref="G36:G38">
    <cfRule type="expression" dxfId="60" priority="33" stopIfTrue="1">
      <formula>IF(FIND("Enter smelter details",G36),TRUE)</formula>
    </cfRule>
  </conditionalFormatting>
  <conditionalFormatting sqref="D40:D41">
    <cfRule type="expression" dxfId="59" priority="27" stopIfTrue="1">
      <formula>IF(AND(LEN($C40)&gt;0,($C40&lt;&gt;"Smelter Not Listed")),1,0)</formula>
    </cfRule>
    <cfRule type="expression" dxfId="58" priority="31" stopIfTrue="1">
      <formula>IF(AND(D40="",$C40=$X$4),TRUE)</formula>
    </cfRule>
    <cfRule type="expression" dxfId="57" priority="32" stopIfTrue="1">
      <formula>IF(FIND("!",D40),TRUE)</formula>
    </cfRule>
  </conditionalFormatting>
  <conditionalFormatting sqref="E40:E41">
    <cfRule type="expression" dxfId="56" priority="29" stopIfTrue="1">
      <formula>IF(AND(E40="",$C40=$X$4),TRUE)</formula>
    </cfRule>
    <cfRule type="expression" dxfId="55" priority="30" stopIfTrue="1">
      <formula>IF(FIND("!",E40),TRUE)</formula>
    </cfRule>
  </conditionalFormatting>
  <conditionalFormatting sqref="C40">
    <cfRule type="expression" dxfId="54" priority="28" stopIfTrue="1">
      <formula>IF(AND(B40&lt;&gt;"",C40=""),TRUE)</formula>
    </cfRule>
  </conditionalFormatting>
  <conditionalFormatting sqref="C41">
    <cfRule type="expression" dxfId="53" priority="26" stopIfTrue="1">
      <formula>IF(AND(B41&lt;&gt;"",C41=""),TRUE)</formula>
    </cfRule>
  </conditionalFormatting>
  <conditionalFormatting sqref="G40">
    <cfRule type="expression" dxfId="52" priority="25" stopIfTrue="1">
      <formula>IF(FIND("Enter smelter details",G40),TRUE)</formula>
    </cfRule>
  </conditionalFormatting>
  <conditionalFormatting sqref="G41">
    <cfRule type="expression" dxfId="51" priority="24" stopIfTrue="1">
      <formula>IF(FIND("Enter smelter details",G41),TRUE)</formula>
    </cfRule>
  </conditionalFormatting>
  <conditionalFormatting sqref="D76">
    <cfRule type="expression" dxfId="50" priority="19" stopIfTrue="1">
      <formula>IF(AND(LEN($C76)&gt;0,($C76&lt;&gt;"Smelter Not Listed")),1,0)</formula>
    </cfRule>
    <cfRule type="expression" dxfId="49" priority="22" stopIfTrue="1">
      <formula>IF(AND(D76="",$C76=$X$4),TRUE)</formula>
    </cfRule>
    <cfRule type="expression" dxfId="48" priority="23" stopIfTrue="1">
      <formula>IF(FIND("!",D76),TRUE)</formula>
    </cfRule>
  </conditionalFormatting>
  <conditionalFormatting sqref="E76">
    <cfRule type="expression" dxfId="47" priority="20" stopIfTrue="1">
      <formula>IF(AND(E76="",$C76=$X$4),TRUE)</formula>
    </cfRule>
    <cfRule type="expression" dxfId="46" priority="21" stopIfTrue="1">
      <formula>IF(FIND("!",E76),TRUE)</formula>
    </cfRule>
  </conditionalFormatting>
  <conditionalFormatting sqref="C76">
    <cfRule type="expression" dxfId="45" priority="18" stopIfTrue="1">
      <formula>IF(AND(B76&lt;&gt;"",C76=""),TRUE)</formula>
    </cfRule>
  </conditionalFormatting>
  <conditionalFormatting sqref="G76">
    <cfRule type="expression" dxfId="44" priority="17" stopIfTrue="1">
      <formula>IF(FIND("Enter smelter details",G76),TRUE)</formula>
    </cfRule>
  </conditionalFormatting>
  <conditionalFormatting sqref="D169">
    <cfRule type="expression" dxfId="43" priority="11" stopIfTrue="1">
      <formula>IF(AND(LEN($C169)&gt;0,($C169&lt;&gt;"Smelter Not Listed")),1,0)</formula>
    </cfRule>
    <cfRule type="expression" dxfId="42" priority="15" stopIfTrue="1">
      <formula>IF(AND(D169="",$C169=$X$4),TRUE)</formula>
    </cfRule>
    <cfRule type="expression" dxfId="41" priority="16" stopIfTrue="1">
      <formula>IF(FIND("!",D169),TRUE)</formula>
    </cfRule>
  </conditionalFormatting>
  <conditionalFormatting sqref="E169">
    <cfRule type="expression" dxfId="40" priority="13" stopIfTrue="1">
      <formula>IF(AND(E169="",$C169=$X$4),TRUE)</formula>
    </cfRule>
    <cfRule type="expression" dxfId="39" priority="14" stopIfTrue="1">
      <formula>IF(FIND("!",E169),TRUE)</formula>
    </cfRule>
  </conditionalFormatting>
  <conditionalFormatting sqref="C169">
    <cfRule type="expression" dxfId="38" priority="12" stopIfTrue="1">
      <formula>IF(AND(B169&lt;&gt;"",C169=""),TRUE)</formula>
    </cfRule>
  </conditionalFormatting>
  <conditionalFormatting sqref="G169">
    <cfRule type="expression" dxfId="37" priority="10" stopIfTrue="1">
      <formula>IF(FIND("Enter smelter details",G169),TRUE)</formula>
    </cfRule>
  </conditionalFormatting>
  <conditionalFormatting sqref="B264:B279">
    <cfRule type="expression" dxfId="36" priority="8" stopIfTrue="1">
      <formula>IF(B264="",TRUE)</formula>
    </cfRule>
    <cfRule type="expression" dxfId="35" priority="9" stopIfTrue="1">
      <formula>IF(AND(COUNTIF(MetalSmelter,B264&amp;C264)=0,LEN(C264)&gt;0),TRUE,FALSE)</formula>
    </cfRule>
  </conditionalFormatting>
  <conditionalFormatting sqref="C264:C279">
    <cfRule type="expression" dxfId="34" priority="7" stopIfTrue="1">
      <formula>IF(AND(B264&lt;&gt;"",C264=""),TRUE)</formula>
    </cfRule>
  </conditionalFormatting>
  <conditionalFormatting sqref="D264:D279">
    <cfRule type="expression" dxfId="33" priority="2" stopIfTrue="1">
      <formula>IF(AND(LEN($C264)&gt;0,($C264&lt;&gt;"Smelter Not Listed")),1,0)</formula>
    </cfRule>
    <cfRule type="expression" dxfId="32" priority="5" stopIfTrue="1">
      <formula>IF(AND(D264="",$C264=$X$4),TRUE)</formula>
    </cfRule>
    <cfRule type="expression" dxfId="31" priority="6" stopIfTrue="1">
      <formula>IF(FIND("!",D264),TRUE)</formula>
    </cfRule>
  </conditionalFormatting>
  <conditionalFormatting sqref="E264:E279">
    <cfRule type="expression" dxfId="30" priority="3" stopIfTrue="1">
      <formula>IF(AND(E264="",$C264=$X$4),TRUE)</formula>
    </cfRule>
    <cfRule type="expression" dxfId="29" priority="4" stopIfTrue="1">
      <formula>IF(FIND("!",E264),TRUE)</formula>
    </cfRule>
  </conditionalFormatting>
  <conditionalFormatting sqref="G264:G279">
    <cfRule type="expression" dxfId="28" priority="1" stopIfTrue="1">
      <formula>IF(FIND("Enter smelter details",G264),TRUE)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9" t="str">
        <f ca="1">OFFSET(L!$C$1,MATCH("Checker"&amp;ADDRESS(ROW(),COLUMN(),4),L!$A:$A,0)-1,SL,,)</f>
        <v>To ensure all required fields have been populated before submitting to your customers review form for any line items highlighted in red</v>
      </c>
      <c r="B1" s="459"/>
      <c r="C1" s="45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Alpha Wire</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Kevin York</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Kevin.York@Alphawire.com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908-925-8000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Kevin Westerlind</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Kevin.Westerlind@Alphawire.com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44655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https://www.belden.com/About/corporate-responsibility</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List'!AB$5:AB$2503,"Tantalum?*")&gt;0),0,1)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List'!AB$5:AB$2503,"Tin?*")&gt;0),0,1)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List'!AB$5:AB$2503,"Gold?*")&gt;0),0,1)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List'!AB$5:AB$2503,"Tungsten?*")&gt;0),0,1)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 ca="1">IF(COUNTIF('Smelter List'!C5:C2503,"Smelter not listed")=0,0,1)</f>
        <v>1</v>
      </c>
      <c r="G69" s="81">
        <f ca="1">IF(OR(SUMPRODUCT(('Smelter List'!C5:C2503="Smelter not listed")*('Smelter List'!D5:D2503=""))&gt;0,SUMPRODUCT(('Smelter List'!C5:C2503="Smelter not listed")*('Smelter List'!E5:E2503=""))&gt;0),1,0)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1" t="str">
        <f ca="1">OFFSET(L!$C$1,MATCH("Product List"&amp;ADDRESS(ROW(),COLUMN(),4),L!$A:$A,0)-1,SL,,)</f>
        <v>Completion required only if reporting level "Product (or List of Products)" selected on the 'Declaration' worksheet.</v>
      </c>
      <c r="B1" s="462"/>
      <c r="C1" s="462"/>
      <c r="D1" s="462"/>
      <c r="E1" s="145"/>
    </row>
    <row r="2" spans="1:6">
      <c r="A2" s="29"/>
      <c r="B2" s="147"/>
      <c r="C2" s="147"/>
      <c r="D2"/>
      <c r="E2" s="30"/>
    </row>
    <row r="3" spans="1:6">
      <c r="A3" s="29"/>
      <c r="B3" s="147"/>
      <c r="C3" s="147"/>
      <c r="D3" s="147"/>
      <c r="E3" s="30"/>
    </row>
    <row r="4" spans="1:6" ht="15.75" customHeight="1">
      <c r="A4" s="29"/>
      <c r="B4" s="460" t="s">
        <v>898</v>
      </c>
      <c r="C4" s="460"/>
      <c r="D4" s="46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3" t="str">
        <f ca="1">OFFSET(L!$C$1,MATCH("General"&amp;"Cpy",L!$A:$A,0)-1,SL,,)</f>
        <v>© 2021 Responsible Minerals Initiative. All rights reserved.</v>
      </c>
      <c r="C1001" s="463"/>
      <c r="D1001" s="46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4"/>
      <c r="C1" s="464"/>
      <c r="D1" s="464"/>
      <c r="E1" s="464"/>
      <c r="F1" s="464"/>
      <c r="G1" s="464"/>
    </row>
    <row r="2" spans="1:16">
      <c r="A2" s="465"/>
      <c r="B2" s="465"/>
      <c r="C2" s="465"/>
      <c r="D2" s="465"/>
      <c r="E2" s="465"/>
      <c r="F2" s="465"/>
      <c r="G2" s="465"/>
      <c r="H2" s="465"/>
      <c r="I2" s="465"/>
    </row>
    <row r="3" spans="1:16">
      <c r="A3" s="465"/>
      <c r="B3" s="465"/>
      <c r="C3" s="465"/>
      <c r="D3" s="465"/>
      <c r="E3" s="465"/>
      <c r="F3" s="465"/>
      <c r="G3" s="465"/>
      <c r="H3" s="465"/>
      <c r="I3" s="46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Watson</cp:lastModifiedBy>
  <cp:lastPrinted>2015-04-21T20:47:43Z</cp:lastPrinted>
  <dcterms:created xsi:type="dcterms:W3CDTF">2010-06-21T21:00:23Z</dcterms:created>
  <dcterms:modified xsi:type="dcterms:W3CDTF">2022-04-11T20:55:30Z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